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120" yWindow="-120" windowWidth="20730" windowHeight="11760" tabRatio="740"/>
  </bookViews>
  <sheets>
    <sheet name="PLANT 1" sheetId="1" r:id="rId1"/>
    <sheet name="PLANT 2" sheetId="2" r:id="rId2"/>
    <sheet name="P2" sheetId="6" r:id="rId3"/>
    <sheet name="PLANT 3" sheetId="3" r:id="rId4"/>
    <sheet name="Total" sheetId="4" r:id="rId5"/>
    <sheet name="Graphics Scrap" sheetId="11" r:id="rId6"/>
    <sheet name="Plant 1 A" sheetId="7" r:id="rId7"/>
    <sheet name="Plant 2 A" sheetId="8" r:id="rId8"/>
    <sheet name="Plant 3 A" sheetId="9" r:id="rId9"/>
    <sheet name="Scrap AMOUNT" sheetId="10" r:id="rId10"/>
    <sheet name="Scrap AMOUNT JAN TO JUL" sheetId="13" state="hidden" r:id="rId11"/>
    <sheet name="Sheet1" sheetId="5" state="hidden" r:id="rId12"/>
  </sheets>
  <definedNames>
    <definedName name="_xlnm.Print_Area" localSheetId="2">'P2'!$A$41:$AG$46</definedName>
    <definedName name="_xlnm.Print_Area" localSheetId="0">'PLANT 1'!$A$54:$AQ$63</definedName>
    <definedName name="_xlnm.Print_Area" localSheetId="6">'Plant 1 A'!$A$1:$O$21</definedName>
    <definedName name="_xlnm.Print_Area" localSheetId="7">'Plant 2 A'!$A$1:$O$20</definedName>
    <definedName name="_xlnm.Print_Area" localSheetId="8">'Plant 3 A'!$A$1:$O$21</definedName>
    <definedName name="_xlnm.Print_Area" localSheetId="9">'Scrap AMOUNT'!$A$2:$N$12</definedName>
    <definedName name="_xlnm.Print_Area" localSheetId="10">'Scrap AMOUNT JAN TO JUL'!$A$1:$M$99</definedName>
    <definedName name="_xlnm.Print_Area" localSheetId="4">Total!$A$1:$O$30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0" i="2"/>
  <c r="T80"/>
  <c r="N67" i="6"/>
  <c r="Y78" i="3"/>
  <c r="Q78"/>
  <c r="R78" i="2"/>
  <c r="J78"/>
  <c r="J88" i="1"/>
  <c r="K88"/>
  <c r="L88"/>
  <c r="M88"/>
  <c r="Q88" s="1"/>
  <c r="N88"/>
  <c r="O88"/>
  <c r="Q87"/>
  <c r="Q86"/>
  <c r="O80" i="3"/>
  <c r="P80"/>
  <c r="N80"/>
  <c r="M80"/>
  <c r="Q80" s="1"/>
  <c r="L80"/>
  <c r="K80"/>
  <c r="J80"/>
  <c r="P88" i="1"/>
  <c r="J80" i="2"/>
  <c r="O80"/>
  <c r="AN75" i="3" l="1"/>
  <c r="AN74"/>
  <c r="AO69"/>
  <c r="AR69" i="2"/>
  <c r="AH69"/>
  <c r="Z69"/>
  <c r="R69"/>
  <c r="J69"/>
  <c r="AO82" i="1"/>
  <c r="AO81"/>
  <c r="AC78"/>
  <c r="AA78"/>
  <c r="V78"/>
  <c r="K78"/>
  <c r="E78"/>
  <c r="Q77"/>
  <c r="I77"/>
  <c r="AN83" i="3"/>
  <c r="AO79" l="1"/>
  <c r="AO78"/>
  <c r="AR79" i="2"/>
  <c r="AR78"/>
  <c r="AH79"/>
  <c r="AH78"/>
  <c r="Z79"/>
  <c r="Z78"/>
  <c r="AS78" s="1"/>
  <c r="R79"/>
  <c r="AS69"/>
  <c r="AO93" i="1"/>
  <c r="AO92"/>
  <c r="AO91"/>
  <c r="AP88"/>
  <c r="AP87"/>
  <c r="AP86"/>
  <c r="AG88"/>
  <c r="AG87"/>
  <c r="AG86"/>
  <c r="Y88"/>
  <c r="Y87"/>
  <c r="Y86"/>
  <c r="E88"/>
  <c r="F88"/>
  <c r="G88"/>
  <c r="I87"/>
  <c r="I86"/>
  <c r="AO83"/>
  <c r="AP76"/>
  <c r="AJ78"/>
  <c r="AI78"/>
  <c r="AP77"/>
  <c r="I78" i="3"/>
  <c r="G80"/>
  <c r="F80"/>
  <c r="E80"/>
  <c r="H88" i="1"/>
  <c r="AQ87" l="1"/>
  <c r="AQ86"/>
  <c r="AR87" s="1"/>
  <c r="J9" i="4"/>
  <c r="AG59" i="6"/>
  <c r="J5" i="4" l="1"/>
  <c r="G78" i="1"/>
  <c r="AG77"/>
  <c r="AG76"/>
  <c r="AT88" i="2"/>
  <c r="Y69" i="3" l="1"/>
  <c r="Q69"/>
  <c r="Y77" i="1"/>
  <c r="AQ77" s="1"/>
  <c r="Y76"/>
  <c r="O78"/>
  <c r="N71" i="3" l="1"/>
  <c r="M71"/>
  <c r="L71"/>
  <c r="K71"/>
  <c r="J71"/>
  <c r="G71"/>
  <c r="F71"/>
  <c r="E71"/>
  <c r="D71"/>
  <c r="C71"/>
  <c r="N78" i="1"/>
  <c r="M78"/>
  <c r="L78"/>
  <c r="J78"/>
  <c r="Q76"/>
  <c r="F78"/>
  <c r="D78"/>
  <c r="C78"/>
  <c r="B78"/>
  <c r="I76"/>
  <c r="AJ71" i="3"/>
  <c r="AI71"/>
  <c r="AH71"/>
  <c r="AO71" s="1"/>
  <c r="AF71"/>
  <c r="AE71"/>
  <c r="AD71"/>
  <c r="AC71"/>
  <c r="AB71"/>
  <c r="AA71"/>
  <c r="Z71"/>
  <c r="X71"/>
  <c r="W71"/>
  <c r="V71"/>
  <c r="U71"/>
  <c r="T71"/>
  <c r="S71"/>
  <c r="R71"/>
  <c r="P71"/>
  <c r="O71"/>
  <c r="AQ76" i="1" l="1"/>
  <c r="Y71" i="3"/>
  <c r="Q71"/>
  <c r="N8" i="1"/>
  <c r="K8"/>
  <c r="B8"/>
  <c r="AR77" l="1"/>
  <c r="I5" i="4"/>
  <c r="AP48" i="1"/>
  <c r="B71" i="3" l="1"/>
  <c r="I71" s="1"/>
  <c r="AH78" i="1"/>
  <c r="AP78" s="1"/>
  <c r="AF78"/>
  <c r="AE78"/>
  <c r="AD78"/>
  <c r="AB78"/>
  <c r="Z78"/>
  <c r="X78"/>
  <c r="W78"/>
  <c r="U78"/>
  <c r="T78"/>
  <c r="S78"/>
  <c r="R78"/>
  <c r="P78"/>
  <c r="Q78" s="1"/>
  <c r="H78"/>
  <c r="I78" s="1"/>
  <c r="Y78" l="1"/>
  <c r="AQ78" s="1"/>
  <c r="AQ79" s="1"/>
  <c r="AG78"/>
  <c r="D69" i="3"/>
  <c r="I69" s="1"/>
  <c r="AD48" i="1" l="1"/>
  <c r="J38"/>
  <c r="AH38"/>
  <c r="R28"/>
  <c r="E28"/>
  <c r="U22"/>
  <c r="K22"/>
  <c r="AB18"/>
  <c r="AO22" l="1"/>
  <c r="C34" i="10" s="1"/>
  <c r="AL58" i="1" l="1"/>
  <c r="AM58"/>
  <c r="AN58"/>
  <c r="AF58"/>
  <c r="W58"/>
  <c r="X58"/>
  <c r="O58"/>
  <c r="P58"/>
  <c r="AO63"/>
  <c r="AO61"/>
  <c r="AK62"/>
  <c r="AK58" s="1"/>
  <c r="G68"/>
  <c r="F68"/>
  <c r="AJ66" i="3" l="1"/>
  <c r="AO70" l="1"/>
  <c r="AG69"/>
  <c r="AP69" s="1"/>
  <c r="I13" i="4" s="1"/>
  <c r="Y70" i="3"/>
  <c r="Q70"/>
  <c r="I70"/>
  <c r="AO60"/>
  <c r="AG60"/>
  <c r="Y60"/>
  <c r="Q60"/>
  <c r="F62"/>
  <c r="I60"/>
  <c r="AR70" i="2"/>
  <c r="AR60"/>
  <c r="AH60"/>
  <c r="R70"/>
  <c r="J70"/>
  <c r="J22" i="11"/>
  <c r="AP66" i="1"/>
  <c r="AG66"/>
  <c r="AO73"/>
  <c r="AP60" i="3" l="1"/>
  <c r="AM66"/>
  <c r="AE66"/>
  <c r="AL65"/>
  <c r="AJ65"/>
  <c r="AH65"/>
  <c r="AE65"/>
  <c r="AL71" i="1"/>
  <c r="AH71"/>
  <c r="AM72"/>
  <c r="AL72"/>
  <c r="AK72"/>
  <c r="AJ72"/>
  <c r="AI72"/>
  <c r="AH72"/>
  <c r="AL68" l="1"/>
  <c r="AL69" s="1"/>
  <c r="AO66" i="3"/>
  <c r="I7" i="9" s="1"/>
  <c r="H82" i="10" s="1"/>
  <c r="AO71" i="1"/>
  <c r="I7" i="7" s="1"/>
  <c r="AE72" i="1"/>
  <c r="AE68" s="1"/>
  <c r="AE69" s="1"/>
  <c r="AD62" i="3"/>
  <c r="AD63" s="1"/>
  <c r="AB62"/>
  <c r="AG67" i="1"/>
  <c r="AC65" i="3"/>
  <c r="AC62" s="1"/>
  <c r="AC63" s="1"/>
  <c r="AA65"/>
  <c r="AA62" s="1"/>
  <c r="AA63" s="1"/>
  <c r="W51" i="6"/>
  <c r="W52"/>
  <c r="AG52" s="1"/>
  <c r="AH52" s="1"/>
  <c r="AD72" i="1"/>
  <c r="AD68" s="1"/>
  <c r="AD69" s="1"/>
  <c r="AC72"/>
  <c r="AC68" s="1"/>
  <c r="AC69" s="1"/>
  <c r="AB72"/>
  <c r="AB68" s="1"/>
  <c r="AA72"/>
  <c r="Z60" i="2"/>
  <c r="R60"/>
  <c r="F69" i="1"/>
  <c r="I67"/>
  <c r="I66"/>
  <c r="Q67"/>
  <c r="Q66"/>
  <c r="Y67"/>
  <c r="Y66"/>
  <c r="Z65" i="3"/>
  <c r="Z62" s="1"/>
  <c r="R62"/>
  <c r="R63" s="1"/>
  <c r="O62"/>
  <c r="O63" s="1"/>
  <c r="Z72" i="1"/>
  <c r="Z68" s="1"/>
  <c r="AN62" i="3"/>
  <c r="AN63" s="1"/>
  <c r="AM62"/>
  <c r="AM63" s="1"/>
  <c r="AL62"/>
  <c r="AL63" s="1"/>
  <c r="AK62"/>
  <c r="AK63" s="1"/>
  <c r="AJ62"/>
  <c r="AJ63" s="1"/>
  <c r="AI62"/>
  <c r="AI63" s="1"/>
  <c r="AH62"/>
  <c r="AF62"/>
  <c r="AF63" s="1"/>
  <c r="AE62"/>
  <c r="AE63" s="1"/>
  <c r="X62"/>
  <c r="X63" s="1"/>
  <c r="W62"/>
  <c r="W63" s="1"/>
  <c r="V62"/>
  <c r="V63" s="1"/>
  <c r="T62"/>
  <c r="T63" s="1"/>
  <c r="U65"/>
  <c r="U62" s="1"/>
  <c r="U63" s="1"/>
  <c r="S65"/>
  <c r="T72" i="1"/>
  <c r="T68" s="1"/>
  <c r="S72"/>
  <c r="K62" i="3"/>
  <c r="K63" s="1"/>
  <c r="AO51"/>
  <c r="AG51"/>
  <c r="Z53"/>
  <c r="Z54" s="1"/>
  <c r="Y51"/>
  <c r="Q51"/>
  <c r="O53"/>
  <c r="O54" s="1"/>
  <c r="N53"/>
  <c r="N54" s="1"/>
  <c r="G53"/>
  <c r="G54" s="1"/>
  <c r="I51"/>
  <c r="J60" i="2"/>
  <c r="AR51"/>
  <c r="AP67" i="1"/>
  <c r="O68"/>
  <c r="O69" s="1"/>
  <c r="G69"/>
  <c r="R72"/>
  <c r="R68" s="1"/>
  <c r="N72"/>
  <c r="N68" s="1"/>
  <c r="N69" s="1"/>
  <c r="M72"/>
  <c r="M68" s="1"/>
  <c r="M69" s="1"/>
  <c r="L72"/>
  <c r="L68" s="1"/>
  <c r="L69" s="1"/>
  <c r="AN68"/>
  <c r="AN69" s="1"/>
  <c r="AM68"/>
  <c r="AM69" s="1"/>
  <c r="AK68"/>
  <c r="AK69" s="1"/>
  <c r="AJ68"/>
  <c r="AJ69" s="1"/>
  <c r="AI68"/>
  <c r="AI69" s="1"/>
  <c r="AH68"/>
  <c r="AF68"/>
  <c r="AF69" s="1"/>
  <c r="X68"/>
  <c r="X69" s="1"/>
  <c r="W68"/>
  <c r="W69" s="1"/>
  <c r="V68"/>
  <c r="V69" s="1"/>
  <c r="U68"/>
  <c r="U69" s="1"/>
  <c r="P68"/>
  <c r="P69" s="1"/>
  <c r="H68"/>
  <c r="H69" s="1"/>
  <c r="K72"/>
  <c r="K68" s="1"/>
  <c r="K69" s="1"/>
  <c r="J72"/>
  <c r="I57"/>
  <c r="I56"/>
  <c r="Q56"/>
  <c r="Q57"/>
  <c r="AG57"/>
  <c r="AP57"/>
  <c r="H7" i="7"/>
  <c r="AP16" i="1"/>
  <c r="AP56"/>
  <c r="AR61" i="2"/>
  <c r="AO63"/>
  <c r="AH61"/>
  <c r="Z61"/>
  <c r="R61"/>
  <c r="AR52"/>
  <c r="AO61" i="3"/>
  <c r="G62"/>
  <c r="G63" s="1"/>
  <c r="H62"/>
  <c r="H63" s="1"/>
  <c r="AO57"/>
  <c r="H7" i="9" s="1"/>
  <c r="G82" i="10" s="1"/>
  <c r="AO52" i="3"/>
  <c r="AL59" i="1"/>
  <c r="AM59"/>
  <c r="AI56" i="3"/>
  <c r="AE56"/>
  <c r="AE53" s="1"/>
  <c r="AE54" s="1"/>
  <c r="AC56"/>
  <c r="AC53" s="1"/>
  <c r="AC54" s="1"/>
  <c r="AA56"/>
  <c r="AA53" s="1"/>
  <c r="AA54" s="1"/>
  <c r="W56"/>
  <c r="W53" s="1"/>
  <c r="W54" s="1"/>
  <c r="U56"/>
  <c r="U53" s="1"/>
  <c r="U54" s="1"/>
  <c r="S56"/>
  <c r="S53" s="1"/>
  <c r="S54" s="1"/>
  <c r="M56"/>
  <c r="M53" s="1"/>
  <c r="M54" s="1"/>
  <c r="J56"/>
  <c r="J53" s="1"/>
  <c r="J54" s="1"/>
  <c r="F56"/>
  <c r="F53" s="1"/>
  <c r="F54" s="1"/>
  <c r="E56"/>
  <c r="E53" s="1"/>
  <c r="E54" s="1"/>
  <c r="D56"/>
  <c r="D53" s="1"/>
  <c r="D54" s="1"/>
  <c r="AK59" i="1"/>
  <c r="AJ62"/>
  <c r="AI62"/>
  <c r="AH62"/>
  <c r="AH58" s="1"/>
  <c r="AH59" s="1"/>
  <c r="AE62"/>
  <c r="AD62"/>
  <c r="AC62"/>
  <c r="AB62"/>
  <c r="AB58" s="1"/>
  <c r="AA62"/>
  <c r="Z62"/>
  <c r="V62"/>
  <c r="U62"/>
  <c r="U58" s="1"/>
  <c r="U59" s="1"/>
  <c r="T62"/>
  <c r="S62"/>
  <c r="R62"/>
  <c r="N62"/>
  <c r="N58" s="1"/>
  <c r="N59" s="1"/>
  <c r="M62"/>
  <c r="L62"/>
  <c r="K62"/>
  <c r="K58" s="1"/>
  <c r="K59" s="1"/>
  <c r="J62"/>
  <c r="J58" s="1"/>
  <c r="G62"/>
  <c r="F62"/>
  <c r="E62"/>
  <c r="D62"/>
  <c r="AN53" i="3"/>
  <c r="AN54" s="1"/>
  <c r="AM53"/>
  <c r="AM54" s="1"/>
  <c r="AL53"/>
  <c r="AL54" s="1"/>
  <c r="AK53"/>
  <c r="AK54" s="1"/>
  <c r="AJ53"/>
  <c r="AJ54" s="1"/>
  <c r="AH53"/>
  <c r="AH54" s="1"/>
  <c r="AF53"/>
  <c r="AF54" s="1"/>
  <c r="AD53"/>
  <c r="AD54" s="1"/>
  <c r="AB53"/>
  <c r="AB54" s="1"/>
  <c r="X53"/>
  <c r="X54" s="1"/>
  <c r="V53"/>
  <c r="V54" s="1"/>
  <c r="T53"/>
  <c r="T54" s="1"/>
  <c r="R53"/>
  <c r="R54" s="1"/>
  <c r="P53"/>
  <c r="P54" s="1"/>
  <c r="L53"/>
  <c r="L54" s="1"/>
  <c r="K53"/>
  <c r="K54" s="1"/>
  <c r="H53"/>
  <c r="H54" s="1"/>
  <c r="AQ51" i="1"/>
  <c r="G7" i="7" s="1"/>
  <c r="AQ52" i="1"/>
  <c r="G5" i="7" s="1"/>
  <c r="J33" i="2"/>
  <c r="R33"/>
  <c r="Z33"/>
  <c r="AH33"/>
  <c r="AR33"/>
  <c r="R42"/>
  <c r="AG56" i="1"/>
  <c r="Y57"/>
  <c r="W59"/>
  <c r="X59"/>
  <c r="Q43" i="6"/>
  <c r="AG43" s="1"/>
  <c r="AH43" s="1"/>
  <c r="H5" i="8" s="1"/>
  <c r="G51" i="13" s="1"/>
  <c r="AP6" i="3"/>
  <c r="AP7" i="1"/>
  <c r="AP6"/>
  <c r="R51" i="2"/>
  <c r="J51"/>
  <c r="Z44" i="3"/>
  <c r="Z45" s="1"/>
  <c r="B44"/>
  <c r="B45" s="1"/>
  <c r="AN47"/>
  <c r="G5" i="9" s="1"/>
  <c r="AO42" i="3"/>
  <c r="AO33"/>
  <c r="AN30"/>
  <c r="E7" i="9" s="1"/>
  <c r="AN29" i="3"/>
  <c r="E5" i="9" s="1"/>
  <c r="AO24" i="3"/>
  <c r="AK26"/>
  <c r="AK27" s="1"/>
  <c r="AJ26"/>
  <c r="AJ27" s="1"/>
  <c r="AI26"/>
  <c r="AI27" s="1"/>
  <c r="AH26"/>
  <c r="AH27" s="1"/>
  <c r="AN21"/>
  <c r="D7" i="9" s="1"/>
  <c r="D12" s="1"/>
  <c r="AN20" i="3"/>
  <c r="D5" i="9" s="1"/>
  <c r="AO15" i="3"/>
  <c r="AE17"/>
  <c r="AE18" s="1"/>
  <c r="Q15"/>
  <c r="F17"/>
  <c r="F18" s="1"/>
  <c r="E17"/>
  <c r="E18" s="1"/>
  <c r="D17"/>
  <c r="D18" s="1"/>
  <c r="C17"/>
  <c r="C18" s="1"/>
  <c r="AP12"/>
  <c r="AP11"/>
  <c r="AB8"/>
  <c r="AB9" s="1"/>
  <c r="Z8"/>
  <c r="Z9" s="1"/>
  <c r="O59" i="1"/>
  <c r="H58"/>
  <c r="H59" s="1"/>
  <c r="AQ53"/>
  <c r="AO43"/>
  <c r="AO42"/>
  <c r="F5" i="7" s="1"/>
  <c r="E30" i="10" s="1"/>
  <c r="AO41" i="1"/>
  <c r="F7" i="7" s="1"/>
  <c r="E34" i="13" s="1"/>
  <c r="T48" i="1"/>
  <c r="T49" s="1"/>
  <c r="L38"/>
  <c r="L39" s="1"/>
  <c r="K38"/>
  <c r="K39" s="1"/>
  <c r="G38"/>
  <c r="G39" s="1"/>
  <c r="F38"/>
  <c r="F39" s="1"/>
  <c r="AI28"/>
  <c r="AI29" s="1"/>
  <c r="AJ28"/>
  <c r="AJ29" s="1"/>
  <c r="AK28"/>
  <c r="AK29" s="1"/>
  <c r="AA28"/>
  <c r="AA29" s="1"/>
  <c r="AB28"/>
  <c r="AB29" s="1"/>
  <c r="AC28"/>
  <c r="AC29" s="1"/>
  <c r="AD28"/>
  <c r="AD29" s="1"/>
  <c r="AE28"/>
  <c r="AE29" s="1"/>
  <c r="Z28"/>
  <c r="Z29" s="1"/>
  <c r="T28"/>
  <c r="T29" s="1"/>
  <c r="S28"/>
  <c r="S29" s="1"/>
  <c r="R29"/>
  <c r="P28"/>
  <c r="N28"/>
  <c r="N29" s="1"/>
  <c r="L28"/>
  <c r="L29" s="1"/>
  <c r="J28"/>
  <c r="J29" s="1"/>
  <c r="D28"/>
  <c r="D29" s="1"/>
  <c r="F28"/>
  <c r="F29" s="1"/>
  <c r="G28"/>
  <c r="G29" s="1"/>
  <c r="H28"/>
  <c r="H29" s="1"/>
  <c r="C28"/>
  <c r="C29" s="1"/>
  <c r="AO31"/>
  <c r="E7" i="7" s="1"/>
  <c r="D34" i="10" s="1"/>
  <c r="AO32" i="1"/>
  <c r="E5" i="7" s="1"/>
  <c r="AO33" i="1"/>
  <c r="H18"/>
  <c r="H19" s="1"/>
  <c r="G18"/>
  <c r="G19" s="1"/>
  <c r="C18"/>
  <c r="C19" s="1"/>
  <c r="AO13"/>
  <c r="J48"/>
  <c r="J49" s="1"/>
  <c r="AP49"/>
  <c r="AO48"/>
  <c r="AO49" s="1"/>
  <c r="AN48"/>
  <c r="AN49" s="1"/>
  <c r="AM48"/>
  <c r="AM49" s="1"/>
  <c r="AL48"/>
  <c r="AL49" s="1"/>
  <c r="AK48"/>
  <c r="AK49" s="1"/>
  <c r="AJ48"/>
  <c r="AJ49" s="1"/>
  <c r="AI48"/>
  <c r="AI49" s="1"/>
  <c r="AH48"/>
  <c r="AD49"/>
  <c r="AE48"/>
  <c r="AE49" s="1"/>
  <c r="AC48"/>
  <c r="AC49" s="1"/>
  <c r="L48"/>
  <c r="L49" s="1"/>
  <c r="K48"/>
  <c r="K49" s="1"/>
  <c r="AQ47"/>
  <c r="AP37"/>
  <c r="AP36"/>
  <c r="AP27"/>
  <c r="Q17"/>
  <c r="AB48"/>
  <c r="AB49" s="1"/>
  <c r="AA48"/>
  <c r="AA49" s="1"/>
  <c r="Z48"/>
  <c r="Z49" s="1"/>
  <c r="W48"/>
  <c r="W49" s="1"/>
  <c r="V48"/>
  <c r="V49" s="1"/>
  <c r="U48"/>
  <c r="U49" s="1"/>
  <c r="S48"/>
  <c r="S49" s="1"/>
  <c r="R48"/>
  <c r="R49" s="1"/>
  <c r="O48"/>
  <c r="O49" s="1"/>
  <c r="N48"/>
  <c r="N49" s="1"/>
  <c r="M48"/>
  <c r="M49" s="1"/>
  <c r="AQ46"/>
  <c r="AI44" i="3"/>
  <c r="AI45" s="1"/>
  <c r="AH44"/>
  <c r="AH45" s="1"/>
  <c r="AD44"/>
  <c r="AD45" s="1"/>
  <c r="AC44"/>
  <c r="AC45" s="1"/>
  <c r="AB44"/>
  <c r="AB45" s="1"/>
  <c r="AA44"/>
  <c r="AA45" s="1"/>
  <c r="W44"/>
  <c r="W45" s="1"/>
  <c r="V44"/>
  <c r="V45" s="1"/>
  <c r="U44"/>
  <c r="T44"/>
  <c r="T45" s="1"/>
  <c r="S44"/>
  <c r="S45" s="1"/>
  <c r="R44"/>
  <c r="R45" s="1"/>
  <c r="N44"/>
  <c r="M44"/>
  <c r="M45" s="1"/>
  <c r="L44"/>
  <c r="L45" s="1"/>
  <c r="K44"/>
  <c r="K45" s="1"/>
  <c r="J44"/>
  <c r="J45" s="1"/>
  <c r="G44"/>
  <c r="G45" s="1"/>
  <c r="F44"/>
  <c r="F45" s="1"/>
  <c r="E44"/>
  <c r="E45" s="1"/>
  <c r="D44"/>
  <c r="C44"/>
  <c r="C45" s="1"/>
  <c r="AP45" i="2"/>
  <c r="AO45"/>
  <c r="AN45"/>
  <c r="AM45"/>
  <c r="AN48" i="3"/>
  <c r="G7" i="9" s="1"/>
  <c r="F82" i="10" s="1"/>
  <c r="AG46" i="1"/>
  <c r="Y46"/>
  <c r="Q46"/>
  <c r="I42" i="3"/>
  <c r="I45" i="2"/>
  <c r="AM44" i="3"/>
  <c r="AL44"/>
  <c r="AL45" s="1"/>
  <c r="AK44"/>
  <c r="AK45" s="1"/>
  <c r="AJ44"/>
  <c r="G56" i="11" s="1"/>
  <c r="AF44" i="3"/>
  <c r="AE44"/>
  <c r="AE45" s="1"/>
  <c r="X44"/>
  <c r="X45" s="1"/>
  <c r="P44"/>
  <c r="P45" s="1"/>
  <c r="O44"/>
  <c r="O45" s="1"/>
  <c r="H44"/>
  <c r="H45" s="1"/>
  <c r="G8"/>
  <c r="B9" i="1"/>
  <c r="AG21" i="6"/>
  <c r="AH21" s="1"/>
  <c r="E7" i="8" s="1"/>
  <c r="D59" i="10" s="1"/>
  <c r="AG28" i="6"/>
  <c r="AH28" s="1"/>
  <c r="F6" i="8" s="1"/>
  <c r="E55" i="10" s="1"/>
  <c r="J42" i="2"/>
  <c r="AR24"/>
  <c r="AF48" i="1"/>
  <c r="AF49" s="1"/>
  <c r="X48"/>
  <c r="X49" s="1"/>
  <c r="Q47"/>
  <c r="I48"/>
  <c r="I49" s="1"/>
  <c r="P48"/>
  <c r="P49" s="1"/>
  <c r="AH6" i="2"/>
  <c r="AS6"/>
  <c r="AP26" i="1"/>
  <c r="AH28"/>
  <c r="AM38"/>
  <c r="AM39" s="1"/>
  <c r="AL38"/>
  <c r="AL39" s="1"/>
  <c r="AK38"/>
  <c r="AK39" s="1"/>
  <c r="AJ38"/>
  <c r="AJ39" s="1"/>
  <c r="AI38"/>
  <c r="AI39" s="1"/>
  <c r="AG36"/>
  <c r="Y36"/>
  <c r="W38"/>
  <c r="W39" s="1"/>
  <c r="V38"/>
  <c r="V39" s="1"/>
  <c r="U38"/>
  <c r="U39" s="1"/>
  <c r="T38"/>
  <c r="T39" s="1"/>
  <c r="S38"/>
  <c r="S39" s="1"/>
  <c r="R38"/>
  <c r="Q36"/>
  <c r="I36"/>
  <c r="AI35" i="3"/>
  <c r="AI36" s="1"/>
  <c r="F11" i="7"/>
  <c r="AA38" i="1"/>
  <c r="AA39" s="1"/>
  <c r="Z38"/>
  <c r="Z39" s="1"/>
  <c r="O38"/>
  <c r="O39" s="1"/>
  <c r="N38"/>
  <c r="N39" s="1"/>
  <c r="M38"/>
  <c r="M39" s="1"/>
  <c r="U8"/>
  <c r="U9" s="1"/>
  <c r="AN39" i="3"/>
  <c r="F7" i="9" s="1"/>
  <c r="AN38" i="3"/>
  <c r="F5" i="9" s="1"/>
  <c r="E78" i="10" s="1"/>
  <c r="L8" i="1"/>
  <c r="L9" s="1"/>
  <c r="K9"/>
  <c r="J8"/>
  <c r="J9" s="1"/>
  <c r="AN38"/>
  <c r="AN39" s="1"/>
  <c r="AB38"/>
  <c r="AB39" s="1"/>
  <c r="AC38"/>
  <c r="AC39" s="1"/>
  <c r="AD38"/>
  <c r="AD39" s="1"/>
  <c r="AE38"/>
  <c r="AE39" s="1"/>
  <c r="AF38"/>
  <c r="AF39" s="1"/>
  <c r="X38"/>
  <c r="X39" s="1"/>
  <c r="AG33" i="3"/>
  <c r="Y33"/>
  <c r="Q33"/>
  <c r="I33"/>
  <c r="J35"/>
  <c r="J36" s="1"/>
  <c r="AG24"/>
  <c r="W26"/>
  <c r="W27" s="1"/>
  <c r="V26"/>
  <c r="V27" s="1"/>
  <c r="U26"/>
  <c r="U27" s="1"/>
  <c r="T26"/>
  <c r="T27" s="1"/>
  <c r="S26"/>
  <c r="S27" s="1"/>
  <c r="R26"/>
  <c r="Y24"/>
  <c r="Q24"/>
  <c r="F26"/>
  <c r="F27" s="1"/>
  <c r="D26"/>
  <c r="D27" s="1"/>
  <c r="I24"/>
  <c r="AG15"/>
  <c r="Y15"/>
  <c r="N17"/>
  <c r="N18" s="1"/>
  <c r="M17"/>
  <c r="M18" s="1"/>
  <c r="L17"/>
  <c r="L18" s="1"/>
  <c r="K17"/>
  <c r="K18" s="1"/>
  <c r="I15"/>
  <c r="AG6"/>
  <c r="AD8"/>
  <c r="AD9" s="1"/>
  <c r="AC8"/>
  <c r="AC9" s="1"/>
  <c r="Y6"/>
  <c r="Q6"/>
  <c r="AJ8"/>
  <c r="Z27" i="6"/>
  <c r="Z30" s="1"/>
  <c r="AI35" i="2" s="1"/>
  <c r="AI36" s="1"/>
  <c r="E27" i="6"/>
  <c r="E30" s="1"/>
  <c r="K35" i="2" s="1"/>
  <c r="K36" s="1"/>
  <c r="AO34" i="3"/>
  <c r="AJ35"/>
  <c r="AJ36" s="1"/>
  <c r="AK35"/>
  <c r="AK36" s="1"/>
  <c r="AL35"/>
  <c r="AL36" s="1"/>
  <c r="AM35"/>
  <c r="AM36" s="1"/>
  <c r="AH35"/>
  <c r="AA35"/>
  <c r="AA36" s="1"/>
  <c r="AB35"/>
  <c r="AB36" s="1"/>
  <c r="AC35"/>
  <c r="AC36" s="1"/>
  <c r="AD35"/>
  <c r="AD36" s="1"/>
  <c r="AE35"/>
  <c r="AE36" s="1"/>
  <c r="AF35"/>
  <c r="AF36" s="1"/>
  <c r="Z35"/>
  <c r="Z36" s="1"/>
  <c r="W35"/>
  <c r="W36" s="1"/>
  <c r="S35"/>
  <c r="S36" s="1"/>
  <c r="T35"/>
  <c r="T36" s="1"/>
  <c r="U35"/>
  <c r="U36" s="1"/>
  <c r="V35"/>
  <c r="V36" s="1"/>
  <c r="X35"/>
  <c r="X36" s="1"/>
  <c r="R35"/>
  <c r="R36" s="1"/>
  <c r="M35"/>
  <c r="M36" s="1"/>
  <c r="L35"/>
  <c r="L36" s="1"/>
  <c r="K35"/>
  <c r="K36" s="1"/>
  <c r="N35"/>
  <c r="N36" s="1"/>
  <c r="O35"/>
  <c r="O36" s="1"/>
  <c r="P35"/>
  <c r="P36" s="1"/>
  <c r="H35"/>
  <c r="H36" s="1"/>
  <c r="G35"/>
  <c r="G36" s="1"/>
  <c r="F35"/>
  <c r="F36" s="1"/>
  <c r="C26"/>
  <c r="C27" s="1"/>
  <c r="B22" i="6"/>
  <c r="D26" i="2" s="1"/>
  <c r="AG37" i="1"/>
  <c r="P38"/>
  <c r="P39" s="1"/>
  <c r="H38"/>
  <c r="H39" s="1"/>
  <c r="R24" i="2"/>
  <c r="J24"/>
  <c r="I6" i="1"/>
  <c r="C8"/>
  <c r="AO11"/>
  <c r="C7" i="7" s="1"/>
  <c r="B34" i="13" s="1"/>
  <c r="G8" i="1"/>
  <c r="G9" s="1"/>
  <c r="AG26"/>
  <c r="Y26"/>
  <c r="Q26"/>
  <c r="I26"/>
  <c r="AO8" i="3"/>
  <c r="AO9" s="1"/>
  <c r="D1" i="1"/>
  <c r="F1"/>
  <c r="AO25" i="3"/>
  <c r="AA26"/>
  <c r="AA27" s="1"/>
  <c r="AB26"/>
  <c r="AB27" s="1"/>
  <c r="AC26"/>
  <c r="AC27" s="1"/>
  <c r="AD26"/>
  <c r="AE26"/>
  <c r="AE27" s="1"/>
  <c r="AF26"/>
  <c r="AF27" s="1"/>
  <c r="Z26"/>
  <c r="Z27" s="1"/>
  <c r="X26"/>
  <c r="X27" s="1"/>
  <c r="M26"/>
  <c r="M27" s="1"/>
  <c r="K26"/>
  <c r="K27" s="1"/>
  <c r="L26"/>
  <c r="L27" s="1"/>
  <c r="N26"/>
  <c r="N27" s="1"/>
  <c r="O26"/>
  <c r="O27" s="1"/>
  <c r="P26"/>
  <c r="P27" s="1"/>
  <c r="J26"/>
  <c r="E26"/>
  <c r="E27" s="1"/>
  <c r="G26"/>
  <c r="G27" s="1"/>
  <c r="H26"/>
  <c r="H27" s="1"/>
  <c r="AO16"/>
  <c r="AH17"/>
  <c r="AO17" s="1"/>
  <c r="AC17"/>
  <c r="AC18" s="1"/>
  <c r="AA17"/>
  <c r="AA18" s="1"/>
  <c r="AB17"/>
  <c r="AB18" s="1"/>
  <c r="AD17"/>
  <c r="AD18" s="1"/>
  <c r="AF17"/>
  <c r="AF18" s="1"/>
  <c r="Z17"/>
  <c r="Z18" s="1"/>
  <c r="S17"/>
  <c r="T17"/>
  <c r="T18" s="1"/>
  <c r="U17"/>
  <c r="U18" s="1"/>
  <c r="V17"/>
  <c r="V18" s="1"/>
  <c r="W17"/>
  <c r="W18" s="1"/>
  <c r="X17"/>
  <c r="X18" s="1"/>
  <c r="R17"/>
  <c r="R18" s="1"/>
  <c r="J17"/>
  <c r="J18" s="1"/>
  <c r="O17"/>
  <c r="O18" s="1"/>
  <c r="P17"/>
  <c r="P18" s="1"/>
  <c r="G17"/>
  <c r="G18" s="1"/>
  <c r="H17"/>
  <c r="AI8"/>
  <c r="AI9" s="1"/>
  <c r="AK8"/>
  <c r="AK9" s="1"/>
  <c r="AL8"/>
  <c r="AL9" s="1"/>
  <c r="AM8"/>
  <c r="AM9" s="1"/>
  <c r="AN8"/>
  <c r="AN9" s="1"/>
  <c r="AH8"/>
  <c r="AH9" s="1"/>
  <c r="AA8"/>
  <c r="AA9" s="1"/>
  <c r="AE8"/>
  <c r="AE9" s="1"/>
  <c r="AF8"/>
  <c r="AF9" s="1"/>
  <c r="U8"/>
  <c r="U9" s="1"/>
  <c r="S8"/>
  <c r="S9" s="1"/>
  <c r="T8"/>
  <c r="T9" s="1"/>
  <c r="V8"/>
  <c r="V9" s="1"/>
  <c r="W8"/>
  <c r="W9" s="1"/>
  <c r="X8"/>
  <c r="X9" s="1"/>
  <c r="R8"/>
  <c r="R9" s="1"/>
  <c r="L8"/>
  <c r="L9" s="1"/>
  <c r="K8"/>
  <c r="K9" s="1"/>
  <c r="M8"/>
  <c r="M9" s="1"/>
  <c r="N8"/>
  <c r="O8"/>
  <c r="O9" s="1"/>
  <c r="P8"/>
  <c r="P9" s="1"/>
  <c r="J8"/>
  <c r="J9" s="1"/>
  <c r="H8"/>
  <c r="H9" s="1"/>
  <c r="AR25" i="2"/>
  <c r="AH24"/>
  <c r="Z24"/>
  <c r="AR16"/>
  <c r="AR15"/>
  <c r="Z6"/>
  <c r="R6"/>
  <c r="AF28" i="1"/>
  <c r="AF29" s="1"/>
  <c r="U28"/>
  <c r="U29" s="1"/>
  <c r="V28"/>
  <c r="V29" s="1"/>
  <c r="W28"/>
  <c r="W29" s="1"/>
  <c r="X28"/>
  <c r="X29" s="1"/>
  <c r="K28"/>
  <c r="M28"/>
  <c r="M29" s="1"/>
  <c r="O28"/>
  <c r="O29" s="1"/>
  <c r="AH18"/>
  <c r="AA18"/>
  <c r="AA19" s="1"/>
  <c r="AB19"/>
  <c r="AC18"/>
  <c r="AC19" s="1"/>
  <c r="AD18"/>
  <c r="AD19" s="1"/>
  <c r="AE18"/>
  <c r="AE19" s="1"/>
  <c r="AF18"/>
  <c r="AF19" s="1"/>
  <c r="Z18"/>
  <c r="S18"/>
  <c r="S19" s="1"/>
  <c r="T18"/>
  <c r="T19" s="1"/>
  <c r="U18"/>
  <c r="U19" s="1"/>
  <c r="V18"/>
  <c r="V19" s="1"/>
  <c r="W18"/>
  <c r="W19" s="1"/>
  <c r="X18"/>
  <c r="X19" s="1"/>
  <c r="R18"/>
  <c r="R19" s="1"/>
  <c r="K18"/>
  <c r="K19" s="1"/>
  <c r="L18"/>
  <c r="L19" s="1"/>
  <c r="M18"/>
  <c r="M19" s="1"/>
  <c r="N18"/>
  <c r="N19" s="1"/>
  <c r="O18"/>
  <c r="O19" s="1"/>
  <c r="P18"/>
  <c r="P19" s="1"/>
  <c r="J18"/>
  <c r="J19" s="1"/>
  <c r="D18"/>
  <c r="D19" s="1"/>
  <c r="E18"/>
  <c r="E19" s="1"/>
  <c r="F18"/>
  <c r="F19" s="1"/>
  <c r="AH8"/>
  <c r="AH9" s="1"/>
  <c r="AA8"/>
  <c r="AB8"/>
  <c r="AB9" s="1"/>
  <c r="AC8"/>
  <c r="AC9" s="1"/>
  <c r="AD8"/>
  <c r="AD9" s="1"/>
  <c r="AE8"/>
  <c r="AE9" s="1"/>
  <c r="AF8"/>
  <c r="AF9" s="1"/>
  <c r="Z8"/>
  <c r="Z9" s="1"/>
  <c r="S8"/>
  <c r="S9" s="1"/>
  <c r="T8"/>
  <c r="T9" s="1"/>
  <c r="V8"/>
  <c r="V9" s="1"/>
  <c r="W8"/>
  <c r="W9" s="1"/>
  <c r="X8"/>
  <c r="X9" s="1"/>
  <c r="R8"/>
  <c r="R9" s="1"/>
  <c r="M8"/>
  <c r="M9" s="1"/>
  <c r="N9"/>
  <c r="O8"/>
  <c r="O9" s="1"/>
  <c r="P8"/>
  <c r="P9" s="1"/>
  <c r="D8"/>
  <c r="D9" s="1"/>
  <c r="E8"/>
  <c r="E9" s="1"/>
  <c r="F8"/>
  <c r="F9" s="1"/>
  <c r="H8"/>
  <c r="H9" s="1"/>
  <c r="AP17"/>
  <c r="AI8"/>
  <c r="AI9" s="1"/>
  <c r="AJ8"/>
  <c r="AJ9" s="1"/>
  <c r="AK8"/>
  <c r="AK9" s="1"/>
  <c r="AL8"/>
  <c r="AL9" s="1"/>
  <c r="AM8"/>
  <c r="AM9" s="1"/>
  <c r="AN8"/>
  <c r="AN9" s="1"/>
  <c r="D5" i="7"/>
  <c r="AO23" i="1"/>
  <c r="AO21"/>
  <c r="AO12"/>
  <c r="C5" i="7" s="1"/>
  <c r="C11" s="1"/>
  <c r="AG4" i="6"/>
  <c r="AH4" s="1"/>
  <c r="C6" i="8" s="1"/>
  <c r="C10" s="1"/>
  <c r="AO89" i="3"/>
  <c r="AO90" s="1"/>
  <c r="AR89" i="2"/>
  <c r="AR90" s="1"/>
  <c r="AS7"/>
  <c r="AO99" i="1"/>
  <c r="AR106" i="2"/>
  <c r="AR105"/>
  <c r="AO106" i="3"/>
  <c r="AO105"/>
  <c r="AO97"/>
  <c r="AO96"/>
  <c r="AG96"/>
  <c r="AN111"/>
  <c r="AN110"/>
  <c r="AN101"/>
  <c r="M7" i="9" s="1"/>
  <c r="L82" i="10" s="1"/>
  <c r="AN102" i="3"/>
  <c r="M5" i="9" s="1"/>
  <c r="AG105" i="1"/>
  <c r="Y96" i="3"/>
  <c r="Q96"/>
  <c r="I96"/>
  <c r="AG78"/>
  <c r="AP78" s="1"/>
  <c r="M5" i="7"/>
  <c r="AG84" i="6"/>
  <c r="AH84" s="1"/>
  <c r="M6" i="8" s="1"/>
  <c r="AG83" i="6"/>
  <c r="AH83" s="1"/>
  <c r="M5" i="8" s="1"/>
  <c r="M9" s="1"/>
  <c r="AP93" i="3"/>
  <c r="L5" i="9" s="1"/>
  <c r="J96" i="2"/>
  <c r="M7" i="7"/>
  <c r="L34" i="10" s="1"/>
  <c r="Q87" i="3"/>
  <c r="AG87"/>
  <c r="AG75" i="6"/>
  <c r="AH75" s="1"/>
  <c r="L6" i="8" s="1"/>
  <c r="AG74" i="6"/>
  <c r="AH74" s="1"/>
  <c r="L5" i="8" s="1"/>
  <c r="K51" i="10" s="1"/>
  <c r="AH87" i="2"/>
  <c r="Z87"/>
  <c r="R87"/>
  <c r="AS87"/>
  <c r="AQ96" i="1"/>
  <c r="AP87" i="3"/>
  <c r="AP92"/>
  <c r="L7" i="9" s="1"/>
  <c r="L12" s="1"/>
  <c r="L7" i="7"/>
  <c r="L12" s="1"/>
  <c r="L5"/>
  <c r="I87" i="3"/>
  <c r="AR42" i="2"/>
  <c r="I96" i="1"/>
  <c r="Q96"/>
  <c r="AN84" i="3"/>
  <c r="K5" i="9" s="1"/>
  <c r="K7"/>
  <c r="K5" i="7"/>
  <c r="J30" i="10" s="1"/>
  <c r="AG68" i="6"/>
  <c r="AH68" s="1"/>
  <c r="K6" i="8" s="1"/>
  <c r="K10" s="1"/>
  <c r="AG60" i="6"/>
  <c r="AH60" s="1"/>
  <c r="J6" i="8" s="1"/>
  <c r="J5" i="9"/>
  <c r="I78" i="10" s="1"/>
  <c r="AH59" i="6"/>
  <c r="J5" i="8" s="1"/>
  <c r="K7" i="7"/>
  <c r="K12" s="1"/>
  <c r="J7"/>
  <c r="I34" i="10" s="1"/>
  <c r="J38" i="13"/>
  <c r="J87"/>
  <c r="J86"/>
  <c r="H83"/>
  <c r="G83"/>
  <c r="F83"/>
  <c r="E83"/>
  <c r="D83"/>
  <c r="C83"/>
  <c r="B83"/>
  <c r="H79"/>
  <c r="G79"/>
  <c r="F79"/>
  <c r="E79"/>
  <c r="D79"/>
  <c r="C79"/>
  <c r="B79"/>
  <c r="J64"/>
  <c r="J63"/>
  <c r="H60"/>
  <c r="G60"/>
  <c r="F60"/>
  <c r="E60"/>
  <c r="D60"/>
  <c r="C60"/>
  <c r="B60"/>
  <c r="H56"/>
  <c r="G56"/>
  <c r="F56"/>
  <c r="E56"/>
  <c r="D56"/>
  <c r="C56"/>
  <c r="B56"/>
  <c r="H52"/>
  <c r="G52"/>
  <c r="F52"/>
  <c r="E52"/>
  <c r="D52"/>
  <c r="C52"/>
  <c r="B52"/>
  <c r="J39"/>
  <c r="H35"/>
  <c r="G35"/>
  <c r="F35"/>
  <c r="E35"/>
  <c r="D35"/>
  <c r="C35"/>
  <c r="B35"/>
  <c r="H31"/>
  <c r="G31"/>
  <c r="F31"/>
  <c r="E31"/>
  <c r="D31"/>
  <c r="C31"/>
  <c r="B31"/>
  <c r="H3"/>
  <c r="G3"/>
  <c r="F3"/>
  <c r="E3"/>
  <c r="D3"/>
  <c r="C3"/>
  <c r="B3"/>
  <c r="O87" i="10"/>
  <c r="O86"/>
  <c r="O64"/>
  <c r="O63"/>
  <c r="O39"/>
  <c r="O38"/>
  <c r="J5" i="7"/>
  <c r="J11" s="1"/>
  <c r="J7" i="9"/>
  <c r="M3" i="10"/>
  <c r="L3"/>
  <c r="K3"/>
  <c r="J3"/>
  <c r="I3"/>
  <c r="H3"/>
  <c r="G3"/>
  <c r="F3"/>
  <c r="E3"/>
  <c r="D3"/>
  <c r="C3"/>
  <c r="B3"/>
  <c r="O78" i="11"/>
  <c r="N79"/>
  <c r="M79"/>
  <c r="M83" s="1"/>
  <c r="L79"/>
  <c r="K79"/>
  <c r="K82" s="1"/>
  <c r="J79"/>
  <c r="I79"/>
  <c r="I83" s="1"/>
  <c r="H79"/>
  <c r="G79"/>
  <c r="F79"/>
  <c r="E79"/>
  <c r="E83" s="1"/>
  <c r="D79"/>
  <c r="C79"/>
  <c r="C83" s="1"/>
  <c r="N12" i="7"/>
  <c r="N11"/>
  <c r="N9"/>
  <c r="N8" s="1"/>
  <c r="AP114" i="1"/>
  <c r="AG3" i="6"/>
  <c r="AH3" s="1"/>
  <c r="C5" i="8" s="1"/>
  <c r="C9" s="1"/>
  <c r="O17" i="7"/>
  <c r="P17" s="1"/>
  <c r="H55" i="11"/>
  <c r="C31" i="10"/>
  <c r="M62" i="3"/>
  <c r="M63" s="1"/>
  <c r="AB63"/>
  <c r="P62"/>
  <c r="P63" s="1"/>
  <c r="N62"/>
  <c r="N63" s="1"/>
  <c r="L62"/>
  <c r="L63" s="1"/>
  <c r="J62"/>
  <c r="F63"/>
  <c r="E62"/>
  <c r="E63" s="1"/>
  <c r="D62"/>
  <c r="D63" s="1"/>
  <c r="C62"/>
  <c r="C63" s="1"/>
  <c r="B62"/>
  <c r="AG61"/>
  <c r="Y61"/>
  <c r="Q61"/>
  <c r="I61"/>
  <c r="AG51" i="6"/>
  <c r="AH51" s="1"/>
  <c r="I5" i="8" s="1"/>
  <c r="H51" i="10" s="1"/>
  <c r="N6" i="5"/>
  <c r="O6" s="1"/>
  <c r="N5"/>
  <c r="O5" s="1"/>
  <c r="N4"/>
  <c r="M83" i="10"/>
  <c r="L83"/>
  <c r="K83"/>
  <c r="J83"/>
  <c r="I83"/>
  <c r="H83"/>
  <c r="G83"/>
  <c r="F83"/>
  <c r="E83"/>
  <c r="D83"/>
  <c r="C83"/>
  <c r="B83"/>
  <c r="M79"/>
  <c r="L79"/>
  <c r="K79"/>
  <c r="J79"/>
  <c r="I79"/>
  <c r="H79"/>
  <c r="G79"/>
  <c r="F79"/>
  <c r="E79"/>
  <c r="D79"/>
  <c r="C79"/>
  <c r="B79"/>
  <c r="M60"/>
  <c r="L60"/>
  <c r="K60"/>
  <c r="J60"/>
  <c r="I60"/>
  <c r="H60"/>
  <c r="G60"/>
  <c r="F60"/>
  <c r="E60"/>
  <c r="D60"/>
  <c r="C60"/>
  <c r="B60"/>
  <c r="M56"/>
  <c r="L56"/>
  <c r="K56"/>
  <c r="J56"/>
  <c r="I56"/>
  <c r="H56"/>
  <c r="G56"/>
  <c r="F56"/>
  <c r="E56"/>
  <c r="D56"/>
  <c r="C56"/>
  <c r="B56"/>
  <c r="M52"/>
  <c r="L52"/>
  <c r="K52"/>
  <c r="J52"/>
  <c r="I52"/>
  <c r="H52"/>
  <c r="G52"/>
  <c r="F52"/>
  <c r="E52"/>
  <c r="D52"/>
  <c r="C52"/>
  <c r="B52"/>
  <c r="M35"/>
  <c r="L35"/>
  <c r="K35"/>
  <c r="J35"/>
  <c r="I35"/>
  <c r="H35"/>
  <c r="G35"/>
  <c r="F35"/>
  <c r="E35"/>
  <c r="D35"/>
  <c r="C35"/>
  <c r="B35"/>
  <c r="M31"/>
  <c r="L31"/>
  <c r="K31"/>
  <c r="J31"/>
  <c r="I31"/>
  <c r="H31"/>
  <c r="F31"/>
  <c r="E31"/>
  <c r="D31"/>
  <c r="B31"/>
  <c r="O20" i="9"/>
  <c r="P20" s="1"/>
  <c r="O17"/>
  <c r="P17" s="1"/>
  <c r="N7"/>
  <c r="N12" s="1"/>
  <c r="N5"/>
  <c r="M78" i="10" s="1"/>
  <c r="O19" i="8"/>
  <c r="P19" s="1"/>
  <c r="O18"/>
  <c r="P18" s="1"/>
  <c r="O17"/>
  <c r="P17" s="1"/>
  <c r="O20" i="7"/>
  <c r="P20" s="1"/>
  <c r="G31" i="10"/>
  <c r="G55" i="11"/>
  <c r="F55"/>
  <c r="E55"/>
  <c r="D55"/>
  <c r="C55"/>
  <c r="L2" i="4"/>
  <c r="C108" i="3"/>
  <c r="B108"/>
  <c r="AN107"/>
  <c r="AN108" s="1"/>
  <c r="AM107"/>
  <c r="AM108" s="1"/>
  <c r="AG106"/>
  <c r="Y106"/>
  <c r="Q106"/>
  <c r="I106"/>
  <c r="AG105"/>
  <c r="Y105"/>
  <c r="AP105"/>
  <c r="N55" i="11" s="1"/>
  <c r="Q105" i="3"/>
  <c r="I105"/>
  <c r="AN98"/>
  <c r="AN99" s="1"/>
  <c r="AM98"/>
  <c r="AM99" s="1"/>
  <c r="AL98"/>
  <c r="AL99" s="1"/>
  <c r="AK98"/>
  <c r="AK99" s="1"/>
  <c r="AJ98"/>
  <c r="AJ99" s="1"/>
  <c r="AG97"/>
  <c r="Y97"/>
  <c r="Q97"/>
  <c r="I97"/>
  <c r="AP96"/>
  <c r="M55" i="11" s="1"/>
  <c r="E90" i="3"/>
  <c r="D90"/>
  <c r="C90"/>
  <c r="B90"/>
  <c r="AP88"/>
  <c r="AG88"/>
  <c r="Y88"/>
  <c r="Q88"/>
  <c r="I88"/>
  <c r="Y87"/>
  <c r="C81"/>
  <c r="B81"/>
  <c r="AN80"/>
  <c r="AN81" s="1"/>
  <c r="AM80"/>
  <c r="AM81" s="1"/>
  <c r="AL80"/>
  <c r="AL81" s="1"/>
  <c r="AG79"/>
  <c r="Y79"/>
  <c r="Q79"/>
  <c r="I79"/>
  <c r="AN71"/>
  <c r="AN72" s="1"/>
  <c r="AM71"/>
  <c r="AM72" s="1"/>
  <c r="AL71"/>
  <c r="AL72" s="1"/>
  <c r="AK71"/>
  <c r="AK72" s="1"/>
  <c r="AJ72"/>
  <c r="AG70"/>
  <c r="AP70" s="1"/>
  <c r="AP67"/>
  <c r="B54"/>
  <c r="AG52"/>
  <c r="Y52"/>
  <c r="Q52"/>
  <c r="I52"/>
  <c r="AP49"/>
  <c r="D45"/>
  <c r="AO43"/>
  <c r="AG43"/>
  <c r="Y43"/>
  <c r="Q43"/>
  <c r="I43"/>
  <c r="AG42"/>
  <c r="Y42"/>
  <c r="Q42"/>
  <c r="D36"/>
  <c r="C36"/>
  <c r="B36"/>
  <c r="AN36"/>
  <c r="AG34"/>
  <c r="Y34"/>
  <c r="Q34"/>
  <c r="I34"/>
  <c r="AN26"/>
  <c r="AN27" s="1"/>
  <c r="AL26"/>
  <c r="AL27" s="1"/>
  <c r="AG25"/>
  <c r="Y25"/>
  <c r="Q25"/>
  <c r="I25"/>
  <c r="AN18"/>
  <c r="AM18"/>
  <c r="AL18"/>
  <c r="AK18"/>
  <c r="AJ18"/>
  <c r="AI18"/>
  <c r="AG16"/>
  <c r="Y16"/>
  <c r="Q16"/>
  <c r="I16"/>
  <c r="E9"/>
  <c r="D9"/>
  <c r="C9"/>
  <c r="B9"/>
  <c r="AP7"/>
  <c r="AG7"/>
  <c r="Y7"/>
  <c r="Q7"/>
  <c r="I7"/>
  <c r="I6"/>
  <c r="AF94" i="6"/>
  <c r="AE94"/>
  <c r="AD94"/>
  <c r="AJ107" i="3" s="1"/>
  <c r="AJ108" s="1"/>
  <c r="AC94" i="6"/>
  <c r="AJ107" i="2" s="1"/>
  <c r="AJ108" s="1"/>
  <c r="AB94" i="6"/>
  <c r="AH107" i="3" s="1"/>
  <c r="AH108" s="1"/>
  <c r="AA94" i="6"/>
  <c r="AF107" i="3" s="1"/>
  <c r="AF108" s="1"/>
  <c r="Z94" i="6"/>
  <c r="AF107" i="2" s="1"/>
  <c r="AF108" s="1"/>
  <c r="Y94" i="6"/>
  <c r="AE107" i="2" s="1"/>
  <c r="AE108" s="1"/>
  <c r="X94" i="6"/>
  <c r="AC107" i="3" s="1"/>
  <c r="AC108" s="1"/>
  <c r="W94" i="6"/>
  <c r="AB107" i="3" s="1"/>
  <c r="AB108" s="1"/>
  <c r="V94" i="6"/>
  <c r="AB107" i="2" s="1"/>
  <c r="AB108" s="1"/>
  <c r="U94" i="6"/>
  <c r="Z107" i="3" s="1"/>
  <c r="Z108" s="1"/>
  <c r="T94" i="6"/>
  <c r="X107" i="3" s="1"/>
  <c r="X108" s="1"/>
  <c r="S94" i="6"/>
  <c r="W107" i="3" s="1"/>
  <c r="W108" s="1"/>
  <c r="R94" i="6"/>
  <c r="V107" i="3" s="1"/>
  <c r="V108" s="1"/>
  <c r="Q94" i="6"/>
  <c r="U107" i="3" s="1"/>
  <c r="U108" s="1"/>
  <c r="P94" i="6"/>
  <c r="T107" i="3" s="1"/>
  <c r="T108" s="1"/>
  <c r="O94" i="6"/>
  <c r="S107" i="3" s="1"/>
  <c r="S108" s="1"/>
  <c r="N94" i="6"/>
  <c r="R107" i="3" s="1"/>
  <c r="R108" s="1"/>
  <c r="M94" i="6"/>
  <c r="P107" i="3" s="1"/>
  <c r="P108" s="1"/>
  <c r="L94" i="6"/>
  <c r="O107" i="3" s="1"/>
  <c r="O108" s="1"/>
  <c r="K94" i="6"/>
  <c r="N107" i="3" s="1"/>
  <c r="N108" s="1"/>
  <c r="J94" i="6"/>
  <c r="M107" i="3" s="1"/>
  <c r="M108" s="1"/>
  <c r="I94" i="6"/>
  <c r="L107" i="3" s="1"/>
  <c r="H94" i="6"/>
  <c r="K107" i="3" s="1"/>
  <c r="K108" s="1"/>
  <c r="G94" i="6"/>
  <c r="J107" i="3" s="1"/>
  <c r="J108" s="1"/>
  <c r="F94" i="6"/>
  <c r="H107" i="3" s="1"/>
  <c r="H108" s="1"/>
  <c r="E94" i="6"/>
  <c r="G107" i="3" s="1"/>
  <c r="G108" s="1"/>
  <c r="D94" i="6"/>
  <c r="F107" i="3" s="1"/>
  <c r="F108" s="1"/>
  <c r="C94" i="6"/>
  <c r="E107" i="3" s="1"/>
  <c r="E108" s="1"/>
  <c r="B94" i="6"/>
  <c r="D107" i="3" s="1"/>
  <c r="D108" s="1"/>
  <c r="AG93" i="6"/>
  <c r="AH93" s="1"/>
  <c r="N7" i="8" s="1"/>
  <c r="N11" s="1"/>
  <c r="AG92" i="6"/>
  <c r="AH92" s="1"/>
  <c r="N6" i="8" s="1"/>
  <c r="AG91" i="6"/>
  <c r="AH91" s="1"/>
  <c r="N5" i="8" s="1"/>
  <c r="N9" s="1"/>
  <c r="AE86" i="6"/>
  <c r="AI98" i="3" s="1"/>
  <c r="AD86" i="6"/>
  <c r="AH98" i="3" s="1"/>
  <c r="AH99" s="1"/>
  <c r="AC86" i="6"/>
  <c r="AB86"/>
  <c r="AE98" i="3" s="1"/>
  <c r="AE99" s="1"/>
  <c r="AA86" i="6"/>
  <c r="AD98" i="3" s="1"/>
  <c r="AD99" s="1"/>
  <c r="Z86" i="6"/>
  <c r="AC98" i="3" s="1"/>
  <c r="AC99" s="1"/>
  <c r="Y86" i="6"/>
  <c r="AB98" i="3" s="1"/>
  <c r="AB99" s="1"/>
  <c r="X86" i="6"/>
  <c r="AA98" i="3" s="1"/>
  <c r="AA99" s="1"/>
  <c r="W86" i="6"/>
  <c r="Z98" i="3" s="1"/>
  <c r="Z99" s="1"/>
  <c r="V86" i="6"/>
  <c r="X98" i="3" s="1"/>
  <c r="X99" s="1"/>
  <c r="U86" i="6"/>
  <c r="T86"/>
  <c r="V98" i="3" s="1"/>
  <c r="V99" s="1"/>
  <c r="S86" i="6"/>
  <c r="U98" i="3" s="1"/>
  <c r="U99" s="1"/>
  <c r="R86" i="6"/>
  <c r="T98" i="3" s="1"/>
  <c r="T99" s="1"/>
  <c r="Q86" i="6"/>
  <c r="S98" i="3" s="1"/>
  <c r="S99" s="1"/>
  <c r="P86" i="6"/>
  <c r="R98" i="3" s="1"/>
  <c r="R99" s="1"/>
  <c r="O86" i="6"/>
  <c r="P98" i="3" s="1"/>
  <c r="P99" s="1"/>
  <c r="N86" i="6"/>
  <c r="O98" i="3" s="1"/>
  <c r="O99" s="1"/>
  <c r="M86" i="6"/>
  <c r="N98" i="3" s="1"/>
  <c r="L86" i="6"/>
  <c r="M99" i="3"/>
  <c r="K86" i="6"/>
  <c r="L98" i="3" s="1"/>
  <c r="L99" s="1"/>
  <c r="J86" i="6"/>
  <c r="K98" i="3" s="1"/>
  <c r="K99" s="1"/>
  <c r="I86" i="6"/>
  <c r="J98" i="3" s="1"/>
  <c r="J99" s="1"/>
  <c r="H86" i="6"/>
  <c r="H98" i="3" s="1"/>
  <c r="H99" s="1"/>
  <c r="G86" i="6"/>
  <c r="G98" i="3" s="1"/>
  <c r="G99" s="1"/>
  <c r="F86" i="6"/>
  <c r="F98" i="3" s="1"/>
  <c r="F99" s="1"/>
  <c r="E86" i="6"/>
  <c r="E98" i="3" s="1"/>
  <c r="E99" s="1"/>
  <c r="D86" i="6"/>
  <c r="D98" i="3" s="1"/>
  <c r="D99" s="1"/>
  <c r="C86" i="6"/>
  <c r="C98" i="3" s="1"/>
  <c r="C99" s="1"/>
  <c r="B86" i="6"/>
  <c r="B98" i="3" s="1"/>
  <c r="AG85" i="6"/>
  <c r="AH85" s="1"/>
  <c r="M7" i="8" s="1"/>
  <c r="L59" i="10" s="1"/>
  <c r="AF77" i="6"/>
  <c r="AN89" i="3" s="1"/>
  <c r="AE77" i="6"/>
  <c r="AM89" i="3" s="1"/>
  <c r="AM90" s="1"/>
  <c r="AD77" i="6"/>
  <c r="AL89" i="3" s="1"/>
  <c r="AL90" s="1"/>
  <c r="AC77" i="6"/>
  <c r="AK89" i="3" s="1"/>
  <c r="AK90" s="1"/>
  <c r="AB77" i="6"/>
  <c r="AJ89" i="3" s="1"/>
  <c r="AJ90" s="1"/>
  <c r="AA77" i="6"/>
  <c r="AI89" i="3" s="1"/>
  <c r="AI90" s="1"/>
  <c r="Z77" i="6"/>
  <c r="AH89" i="3" s="1"/>
  <c r="AH90" s="1"/>
  <c r="Y77" i="6"/>
  <c r="AF89" i="3" s="1"/>
  <c r="AF90" s="1"/>
  <c r="X77" i="6"/>
  <c r="AF89" i="2" s="1"/>
  <c r="AF90" s="1"/>
  <c r="W77" i="6"/>
  <c r="AD89" i="3" s="1"/>
  <c r="AD90" s="1"/>
  <c r="V77" i="6"/>
  <c r="AC89" i="3" s="1"/>
  <c r="AC90" s="1"/>
  <c r="U77" i="6"/>
  <c r="AB89" i="3" s="1"/>
  <c r="AB90" s="1"/>
  <c r="T77" i="6"/>
  <c r="AA89" i="3" s="1"/>
  <c r="AA90" s="1"/>
  <c r="S77" i="6"/>
  <c r="Z89" i="3" s="1"/>
  <c r="Z90" s="1"/>
  <c r="R77" i="6"/>
  <c r="Y89" i="2" s="1"/>
  <c r="Y90" s="1"/>
  <c r="Q77" i="6"/>
  <c r="W89" i="3" s="1"/>
  <c r="W90" s="1"/>
  <c r="P77" i="6"/>
  <c r="V89" i="3" s="1"/>
  <c r="V90" s="1"/>
  <c r="O77" i="6"/>
  <c r="U89" i="3" s="1"/>
  <c r="U90" s="1"/>
  <c r="N77" i="6"/>
  <c r="T89" i="3" s="1"/>
  <c r="T90" s="1"/>
  <c r="M77" i="6"/>
  <c r="S89" i="3" s="1"/>
  <c r="S90" s="1"/>
  <c r="L77" i="6"/>
  <c r="R89" i="3" s="1"/>
  <c r="R90" s="1"/>
  <c r="K77" i="6"/>
  <c r="P89" i="3" s="1"/>
  <c r="P90" s="1"/>
  <c r="J77" i="6"/>
  <c r="O89" i="3" s="1"/>
  <c r="O90" s="1"/>
  <c r="I77" i="6"/>
  <c r="N89" i="3" s="1"/>
  <c r="N90" s="1"/>
  <c r="H77" i="6"/>
  <c r="M89" i="3" s="1"/>
  <c r="M90" s="1"/>
  <c r="G77" i="6"/>
  <c r="L89" i="3" s="1"/>
  <c r="L90" s="1"/>
  <c r="F77" i="6"/>
  <c r="K89" i="3" s="1"/>
  <c r="K90" s="1"/>
  <c r="E77" i="6"/>
  <c r="J89" i="3" s="1"/>
  <c r="D77" i="6"/>
  <c r="H89" i="3" s="1"/>
  <c r="H90" s="1"/>
  <c r="C77" i="6"/>
  <c r="G89" i="3" s="1"/>
  <c r="G90" s="1"/>
  <c r="B77" i="6"/>
  <c r="F89" i="3" s="1"/>
  <c r="F90" s="1"/>
  <c r="AG76" i="6"/>
  <c r="AH76" s="1"/>
  <c r="L7" i="8" s="1"/>
  <c r="AE70" i="6"/>
  <c r="AK80" i="3" s="1"/>
  <c r="AK81" s="1"/>
  <c r="AD70" i="6"/>
  <c r="AJ80" i="3" s="1"/>
  <c r="AJ81" s="1"/>
  <c r="AC70" i="6"/>
  <c r="AI80" i="3" s="1"/>
  <c r="AI81" s="1"/>
  <c r="AB70" i="6"/>
  <c r="AH80" i="3" s="1"/>
  <c r="AA70" i="6"/>
  <c r="AF80" i="3" s="1"/>
  <c r="AF81" s="1"/>
  <c r="Z70" i="6"/>
  <c r="AE80" i="3" s="1"/>
  <c r="AE81" s="1"/>
  <c r="Y70" i="6"/>
  <c r="X70"/>
  <c r="AC80" i="3" s="1"/>
  <c r="AC81" s="1"/>
  <c r="W70" i="6"/>
  <c r="AB80" i="3" s="1"/>
  <c r="AB81" s="1"/>
  <c r="V70" i="6"/>
  <c r="AA80" i="3" s="1"/>
  <c r="AA81" s="1"/>
  <c r="U70" i="6"/>
  <c r="Z80" i="3" s="1"/>
  <c r="Z81" s="1"/>
  <c r="T70" i="6"/>
  <c r="X80" i="3" s="1"/>
  <c r="X81" s="1"/>
  <c r="S70" i="6"/>
  <c r="W80" i="3" s="1"/>
  <c r="W81" s="1"/>
  <c r="R70" i="6"/>
  <c r="Q70"/>
  <c r="U80" i="3" s="1"/>
  <c r="U81" s="1"/>
  <c r="P70" i="6"/>
  <c r="T80" i="3" s="1"/>
  <c r="T81" s="1"/>
  <c r="O70" i="6"/>
  <c r="S80" i="3" s="1"/>
  <c r="S81" s="1"/>
  <c r="N70" i="6"/>
  <c r="R80" i="3" s="1"/>
  <c r="M70" i="6"/>
  <c r="P81" i="3" s="1"/>
  <c r="L70" i="6"/>
  <c r="O81" i="3" s="1"/>
  <c r="K70" i="6"/>
  <c r="N81" i="3" s="1"/>
  <c r="J70" i="6"/>
  <c r="M81" i="3" s="1"/>
  <c r="I70" i="6"/>
  <c r="H70"/>
  <c r="K81" i="3" s="1"/>
  <c r="G70" i="6"/>
  <c r="F70"/>
  <c r="H80" i="3" s="1"/>
  <c r="H81" s="1"/>
  <c r="E70" i="6"/>
  <c r="G81" i="3" s="1"/>
  <c r="D70" i="6"/>
  <c r="F81" i="3" s="1"/>
  <c r="C70" i="6"/>
  <c r="E81" i="3" s="1"/>
  <c r="B70" i="6"/>
  <c r="D80" i="3" s="1"/>
  <c r="AG69" i="6"/>
  <c r="AH69" s="1"/>
  <c r="K7" i="8" s="1"/>
  <c r="AG67" i="6"/>
  <c r="AH67" s="1"/>
  <c r="K5" i="8" s="1"/>
  <c r="K9" s="1"/>
  <c r="AF62" i="6"/>
  <c r="AI72" i="3" s="1"/>
  <c r="AE62" i="6"/>
  <c r="AD62"/>
  <c r="AC62"/>
  <c r="AE72" i="3" s="1"/>
  <c r="AB62" i="6"/>
  <c r="AD72" i="3" s="1"/>
  <c r="AA62" i="6"/>
  <c r="AC72" i="3" s="1"/>
  <c r="Z62" i="6"/>
  <c r="Y62"/>
  <c r="AA72" i="3" s="1"/>
  <c r="X62" i="6"/>
  <c r="AB71" i="2" s="1"/>
  <c r="AB72" s="1"/>
  <c r="W62" i="6"/>
  <c r="V62"/>
  <c r="W72" i="3" s="1"/>
  <c r="U62" i="6"/>
  <c r="V72" i="3" s="1"/>
  <c r="T62" i="6"/>
  <c r="S62"/>
  <c r="T72" i="3" s="1"/>
  <c r="R62" i="6"/>
  <c r="S72" i="3" s="1"/>
  <c r="Q62" i="6"/>
  <c r="P62"/>
  <c r="P72" i="3" s="1"/>
  <c r="O62" i="6"/>
  <c r="O72" i="3" s="1"/>
  <c r="N62" i="6"/>
  <c r="N72" i="3" s="1"/>
  <c r="M62" i="6"/>
  <c r="O71" i="2" s="1"/>
  <c r="O72" s="1"/>
  <c r="M72" i="3"/>
  <c r="L62" i="6"/>
  <c r="L72" i="3" s="1"/>
  <c r="K62" i="6"/>
  <c r="K72" i="3" s="1"/>
  <c r="J62" i="6"/>
  <c r="I62"/>
  <c r="H72" i="3"/>
  <c r="H62" i="6"/>
  <c r="G62"/>
  <c r="F72" i="3"/>
  <c r="F62" i="6"/>
  <c r="G71" i="2" s="1"/>
  <c r="G72" s="1"/>
  <c r="E72" i="3"/>
  <c r="E62" i="6"/>
  <c r="F71" i="2" s="1"/>
  <c r="F72" s="1"/>
  <c r="D62" i="6"/>
  <c r="C62"/>
  <c r="B62"/>
  <c r="AG61"/>
  <c r="AH61" s="1"/>
  <c r="J7" i="8" s="1"/>
  <c r="AF54" i="6"/>
  <c r="AN63" i="2"/>
  <c r="AE54" i="6"/>
  <c r="AD54"/>
  <c r="AM62" i="2" s="1"/>
  <c r="AR62" s="1"/>
  <c r="AC54" i="6"/>
  <c r="AK63" i="2"/>
  <c r="AB54" i="6"/>
  <c r="AA54"/>
  <c r="Z54"/>
  <c r="Y54"/>
  <c r="AF63" i="2"/>
  <c r="X54" i="6"/>
  <c r="AD63" i="2"/>
  <c r="V54" i="6"/>
  <c r="U54"/>
  <c r="T54"/>
  <c r="AB62" i="2" s="1"/>
  <c r="AH62" s="1"/>
  <c r="AH63" s="1"/>
  <c r="S54" i="6"/>
  <c r="Y63" i="2"/>
  <c r="R54" i="6"/>
  <c r="Q54"/>
  <c r="P54"/>
  <c r="W62" i="2" s="1"/>
  <c r="W63" s="1"/>
  <c r="O54" i="6"/>
  <c r="N54"/>
  <c r="U62" i="2" s="1"/>
  <c r="U63" s="1"/>
  <c r="M54" i="6"/>
  <c r="L54"/>
  <c r="Q63" i="2"/>
  <c r="K54" i="6"/>
  <c r="P63" i="2"/>
  <c r="J54" i="6"/>
  <c r="I54"/>
  <c r="N63" i="2"/>
  <c r="H54" i="6"/>
  <c r="G54"/>
  <c r="F54"/>
  <c r="E54"/>
  <c r="K62" i="2" s="1"/>
  <c r="D54" i="6"/>
  <c r="C54"/>
  <c r="G63" i="2"/>
  <c r="B54" i="6"/>
  <c r="AG53"/>
  <c r="AH53" s="1"/>
  <c r="I7" i="8" s="1"/>
  <c r="AE46" i="6"/>
  <c r="AL53" i="2" s="1"/>
  <c r="AL54" s="1"/>
  <c r="AC46" i="6"/>
  <c r="AB46"/>
  <c r="AI53" i="2" s="1"/>
  <c r="AI54" s="1"/>
  <c r="AA46" i="6"/>
  <c r="AF53" i="2" s="1"/>
  <c r="AF54" s="1"/>
  <c r="Y46" i="6"/>
  <c r="W46"/>
  <c r="AC53" i="2" s="1"/>
  <c r="AC54" s="1"/>
  <c r="V46" i="6"/>
  <c r="U46"/>
  <c r="Y53" i="2" s="1"/>
  <c r="T46" i="6"/>
  <c r="X53" i="2" s="1"/>
  <c r="X54" s="1"/>
  <c r="S46" i="6"/>
  <c r="W53" i="2" s="1"/>
  <c r="P46" i="6"/>
  <c r="N46"/>
  <c r="Q53" i="2" s="1"/>
  <c r="Q54" s="1"/>
  <c r="M46" i="6"/>
  <c r="P53" i="2" s="1"/>
  <c r="P54" s="1"/>
  <c r="L46" i="6"/>
  <c r="J46"/>
  <c r="H46"/>
  <c r="G46"/>
  <c r="F46"/>
  <c r="C46"/>
  <c r="AG45"/>
  <c r="AH45" s="1"/>
  <c r="H7" i="8" s="1"/>
  <c r="AE38" i="6"/>
  <c r="AD38"/>
  <c r="AC38"/>
  <c r="AB38"/>
  <c r="AA38"/>
  <c r="X38"/>
  <c r="AI44" i="2" s="1"/>
  <c r="AI45" s="1"/>
  <c r="W38" i="6"/>
  <c r="AF44" i="2" s="1"/>
  <c r="AF45" s="1"/>
  <c r="V38" i="6"/>
  <c r="R38"/>
  <c r="AB44" i="2" s="1"/>
  <c r="AB45" s="1"/>
  <c r="Q38" i="6"/>
  <c r="P38"/>
  <c r="M38"/>
  <c r="K38"/>
  <c r="T44" i="2" s="1"/>
  <c r="T45" s="1"/>
  <c r="J38" i="6"/>
  <c r="Q44" i="2" s="1"/>
  <c r="Q45" s="1"/>
  <c r="I38" i="6"/>
  <c r="P44" i="2" s="1"/>
  <c r="P45" s="1"/>
  <c r="H38" i="6"/>
  <c r="O44" i="2" s="1"/>
  <c r="O45" s="1"/>
  <c r="N45" i="3"/>
  <c r="F38" i="6"/>
  <c r="D38"/>
  <c r="C38"/>
  <c r="K44" i="2" s="1"/>
  <c r="K45" s="1"/>
  <c r="B38" i="6"/>
  <c r="H44" i="2" s="1"/>
  <c r="H45" s="1"/>
  <c r="AG37" i="6"/>
  <c r="AH37" s="1"/>
  <c r="G7" i="8" s="1"/>
  <c r="G11" s="1"/>
  <c r="AE30" i="6"/>
  <c r="AN35" i="2" s="1"/>
  <c r="AN36" s="1"/>
  <c r="AD30" i="6"/>
  <c r="AM35" i="2" s="1"/>
  <c r="AM36" s="1"/>
  <c r="AA30" i="6"/>
  <c r="AJ35" i="2" s="1"/>
  <c r="AJ36" s="1"/>
  <c r="Y30" i="6"/>
  <c r="AG35" i="2" s="1"/>
  <c r="AG36" s="1"/>
  <c r="W30" i="6"/>
  <c r="AE35" i="2" s="1"/>
  <c r="AE36" s="1"/>
  <c r="T30" i="6"/>
  <c r="AB35" i="2" s="1"/>
  <c r="AB36" s="1"/>
  <c r="S30" i="6"/>
  <c r="AA35" i="2" s="1"/>
  <c r="AA36" s="1"/>
  <c r="R30" i="6"/>
  <c r="Y35" i="2" s="1"/>
  <c r="Y36" s="1"/>
  <c r="Q30" i="6"/>
  <c r="X35" i="2" s="1"/>
  <c r="X36" s="1"/>
  <c r="M30" i="6"/>
  <c r="T35" i="2" s="1"/>
  <c r="T36" s="1"/>
  <c r="L30" i="6"/>
  <c r="S35" i="2" s="1"/>
  <c r="S36" s="1"/>
  <c r="K30" i="6"/>
  <c r="Q35" i="2" s="1"/>
  <c r="Q36" s="1"/>
  <c r="J30" i="6"/>
  <c r="P35" i="2" s="1"/>
  <c r="P36" s="1"/>
  <c r="I30" i="6"/>
  <c r="O35" i="2" s="1"/>
  <c r="O36" s="1"/>
  <c r="H30" i="6"/>
  <c r="N35" i="2" s="1"/>
  <c r="N36" s="1"/>
  <c r="G30" i="6"/>
  <c r="M35" i="2" s="1"/>
  <c r="M36" s="1"/>
  <c r="F30" i="6"/>
  <c r="L35" i="2" s="1"/>
  <c r="L36" s="1"/>
  <c r="D30" i="6"/>
  <c r="I35" i="2" s="1"/>
  <c r="I36" s="1"/>
  <c r="C30" i="6"/>
  <c r="H35" i="2" s="1"/>
  <c r="H36" s="1"/>
  <c r="B30" i="6"/>
  <c r="G35" i="2" s="1"/>
  <c r="AG29" i="6"/>
  <c r="AH29" s="1"/>
  <c r="F7" i="8" s="1"/>
  <c r="E59" i="13" s="1"/>
  <c r="AB30" i="6"/>
  <c r="AK35" i="2" s="1"/>
  <c r="AK36" s="1"/>
  <c r="X30" i="6"/>
  <c r="AF35" i="2" s="1"/>
  <c r="AF36" s="1"/>
  <c r="V30" i="6"/>
  <c r="AD35" i="2" s="1"/>
  <c r="AD36" s="1"/>
  <c r="O30" i="6"/>
  <c r="V35" i="2" s="1"/>
  <c r="V36" s="1"/>
  <c r="N30" i="6"/>
  <c r="U35" i="2" s="1"/>
  <c r="U36" s="1"/>
  <c r="AE22" i="6"/>
  <c r="AK26" i="2" s="1"/>
  <c r="AK27" s="1"/>
  <c r="AC22" i="6"/>
  <c r="AI26" i="2" s="1"/>
  <c r="AI27" s="1"/>
  <c r="AB22" i="6"/>
  <c r="AG26" i="2" s="1"/>
  <c r="AG27" s="1"/>
  <c r="AA22" i="6"/>
  <c r="AF26" i="2" s="1"/>
  <c r="AF27" s="1"/>
  <c r="X22" i="6"/>
  <c r="AC26" i="2" s="1"/>
  <c r="W22" i="6"/>
  <c r="AB26" i="2" s="1"/>
  <c r="AB27" s="1"/>
  <c r="V22" i="6"/>
  <c r="AA26" i="2" s="1"/>
  <c r="AA27" s="1"/>
  <c r="U22" i="6"/>
  <c r="Y26" i="2" s="1"/>
  <c r="Y27" s="1"/>
  <c r="R22" i="6"/>
  <c r="V26" i="2" s="1"/>
  <c r="V27" s="1"/>
  <c r="Q22" i="6"/>
  <c r="U26" i="2" s="1"/>
  <c r="U27" s="1"/>
  <c r="P22" i="6"/>
  <c r="T26" i="2" s="1"/>
  <c r="T27" s="1"/>
  <c r="O22" i="6"/>
  <c r="S26" i="2" s="1"/>
  <c r="S27" s="1"/>
  <c r="N22" i="6"/>
  <c r="Q26" i="2" s="1"/>
  <c r="Q27" s="1"/>
  <c r="I22" i="6"/>
  <c r="L26" i="2" s="1"/>
  <c r="L27" s="1"/>
  <c r="H22" i="6"/>
  <c r="G22"/>
  <c r="I26" i="2" s="1"/>
  <c r="I27" s="1"/>
  <c r="F22" i="6"/>
  <c r="H26" i="2" s="1"/>
  <c r="H27" s="1"/>
  <c r="C22" i="6"/>
  <c r="E26" i="2" s="1"/>
  <c r="E27" s="1"/>
  <c r="AD15" i="6"/>
  <c r="AC15"/>
  <c r="AI17" i="2" s="1"/>
  <c r="AR17" s="1"/>
  <c r="AB15" i="6"/>
  <c r="AG17" i="2" s="1"/>
  <c r="AG18" s="1"/>
  <c r="AA15" i="6"/>
  <c r="AF17" i="2" s="1"/>
  <c r="AF18" s="1"/>
  <c r="Z15" i="6"/>
  <c r="AE17" i="2" s="1"/>
  <c r="AE18" s="1"/>
  <c r="Y15" i="6"/>
  <c r="AD17" i="2" s="1"/>
  <c r="AD18" s="1"/>
  <c r="X15" i="6"/>
  <c r="AC17" i="2" s="1"/>
  <c r="AC18" s="1"/>
  <c r="W15" i="6"/>
  <c r="AB17" i="2" s="1"/>
  <c r="AB18" s="1"/>
  <c r="V15" i="6"/>
  <c r="AA17" i="2" s="1"/>
  <c r="U15" i="6"/>
  <c r="Y17" i="2" s="1"/>
  <c r="Y18" s="1"/>
  <c r="T15" i="6"/>
  <c r="X17" i="2" s="1"/>
  <c r="X18" s="1"/>
  <c r="S15" i="6"/>
  <c r="W17" i="2" s="1"/>
  <c r="W18" s="1"/>
  <c r="R15" i="6"/>
  <c r="V17" i="2" s="1"/>
  <c r="V18" s="1"/>
  <c r="Q15" i="6"/>
  <c r="U17" i="2" s="1"/>
  <c r="U18" s="1"/>
  <c r="P15" i="6"/>
  <c r="T17" i="2" s="1"/>
  <c r="T18" s="1"/>
  <c r="O15" i="6"/>
  <c r="S17" i="2" s="1"/>
  <c r="S18" s="1"/>
  <c r="N15" i="6"/>
  <c r="Q17" i="2" s="1"/>
  <c r="Q18" s="1"/>
  <c r="M15" i="6"/>
  <c r="P17" i="2" s="1"/>
  <c r="P18" s="1"/>
  <c r="L15" i="6"/>
  <c r="O17" i="2" s="1"/>
  <c r="O18" s="1"/>
  <c r="K15" i="6"/>
  <c r="N17" i="2" s="1"/>
  <c r="N18" s="1"/>
  <c r="J15" i="6"/>
  <c r="M17" i="2" s="1"/>
  <c r="M18" s="1"/>
  <c r="I15" i="6"/>
  <c r="L17" i="2" s="1"/>
  <c r="L18" s="1"/>
  <c r="H15" i="6"/>
  <c r="K17" i="2" s="1"/>
  <c r="K18" s="1"/>
  <c r="G15" i="6"/>
  <c r="I17" i="2" s="1"/>
  <c r="I18" s="1"/>
  <c r="F15" i="6"/>
  <c r="H17" i="2" s="1"/>
  <c r="H18" s="1"/>
  <c r="E15" i="6"/>
  <c r="G17" i="2" s="1"/>
  <c r="G18" s="1"/>
  <c r="D15" i="6"/>
  <c r="F17" i="2" s="1"/>
  <c r="F18" s="1"/>
  <c r="C15" i="6"/>
  <c r="E17" i="2" s="1"/>
  <c r="E18" s="1"/>
  <c r="B15" i="6"/>
  <c r="D17" i="2" s="1"/>
  <c r="AG14" i="6"/>
  <c r="AH14" s="1"/>
  <c r="D7" i="8" s="1"/>
  <c r="C59" i="10" s="1"/>
  <c r="AG13" i="6"/>
  <c r="AH13" s="1"/>
  <c r="D6" i="8" s="1"/>
  <c r="C55" i="10" s="1"/>
  <c r="AG12" i="6"/>
  <c r="AH12" s="1"/>
  <c r="D5" i="8" s="1"/>
  <c r="D9" s="1"/>
  <c r="AF6" i="6"/>
  <c r="AR8" i="2" s="1"/>
  <c r="AR9" s="1"/>
  <c r="AE6" i="6"/>
  <c r="AQ8" i="2" s="1"/>
  <c r="AQ9" s="1"/>
  <c r="AD6" i="6"/>
  <c r="AN8" i="2" s="1"/>
  <c r="AN9" s="1"/>
  <c r="AC6" i="6"/>
  <c r="AM8" i="2" s="1"/>
  <c r="AM9" s="1"/>
  <c r="AB6" i="6"/>
  <c r="AL8" i="2" s="1"/>
  <c r="AL9" s="1"/>
  <c r="AA6" i="6"/>
  <c r="AK8" i="2" s="1"/>
  <c r="AK9" s="1"/>
  <c r="Z6" i="6"/>
  <c r="AJ8" i="2" s="1"/>
  <c r="AJ9" s="1"/>
  <c r="Y6" i="6"/>
  <c r="AI8" i="2" s="1"/>
  <c r="AI9" s="1"/>
  <c r="X6" i="6"/>
  <c r="AG8" i="2" s="1"/>
  <c r="AG9" s="1"/>
  <c r="W6" i="6"/>
  <c r="AF8" i="2" s="1"/>
  <c r="AF9" s="1"/>
  <c r="V6" i="6"/>
  <c r="AE8" i="2" s="1"/>
  <c r="AE9" s="1"/>
  <c r="U6" i="6"/>
  <c r="AD8" i="2" s="1"/>
  <c r="AD9" s="1"/>
  <c r="T6" i="6"/>
  <c r="AC8" i="2" s="1"/>
  <c r="AC9" s="1"/>
  <c r="S6" i="6"/>
  <c r="AB8" i="2" s="1"/>
  <c r="AB9" s="1"/>
  <c r="R6" i="6"/>
  <c r="AA8" i="2" s="1"/>
  <c r="AA9" s="1"/>
  <c r="Q6" i="6"/>
  <c r="Y8" i="2" s="1"/>
  <c r="Y9" s="1"/>
  <c r="P6" i="6"/>
  <c r="X8" i="2" s="1"/>
  <c r="X9" s="1"/>
  <c r="O6" i="6"/>
  <c r="W8" i="2" s="1"/>
  <c r="W9" s="1"/>
  <c r="N6" i="6"/>
  <c r="V8" i="2" s="1"/>
  <c r="V9" s="1"/>
  <c r="M6" i="6"/>
  <c r="U8" i="2" s="1"/>
  <c r="U9" s="1"/>
  <c r="L6" i="6"/>
  <c r="T8" i="2" s="1"/>
  <c r="K6" i="6"/>
  <c r="S8" i="2" s="1"/>
  <c r="S9" s="1"/>
  <c r="J6" i="6"/>
  <c r="Q8" i="2" s="1"/>
  <c r="Q9" s="1"/>
  <c r="I6" i="6"/>
  <c r="P8" i="2" s="1"/>
  <c r="P9" s="1"/>
  <c r="H6" i="6"/>
  <c r="O8" i="2" s="1"/>
  <c r="O9" s="1"/>
  <c r="G6" i="6"/>
  <c r="N8" i="2" s="1"/>
  <c r="N9" s="1"/>
  <c r="F6" i="6"/>
  <c r="M8" i="2" s="1"/>
  <c r="M9" s="1"/>
  <c r="E6" i="6"/>
  <c r="L8" i="2" s="1"/>
  <c r="L9" s="1"/>
  <c r="D6" i="6"/>
  <c r="K8" i="2" s="1"/>
  <c r="C6" i="6"/>
  <c r="I8" i="2" s="1"/>
  <c r="I9" s="1"/>
  <c r="B6" i="6"/>
  <c r="H8" i="2" s="1"/>
  <c r="H9" s="1"/>
  <c r="AG5" i="6"/>
  <c r="AH5" s="1"/>
  <c r="C7" i="8" s="1"/>
  <c r="D108" i="2"/>
  <c r="C108"/>
  <c r="B108"/>
  <c r="AQ107"/>
  <c r="AQ108" s="1"/>
  <c r="AN107"/>
  <c r="AN108" s="1"/>
  <c r="AH106"/>
  <c r="Z106"/>
  <c r="R106"/>
  <c r="J106"/>
  <c r="AH105"/>
  <c r="Z105"/>
  <c r="R105"/>
  <c r="J105"/>
  <c r="B99"/>
  <c r="AQ98"/>
  <c r="AR98" s="1"/>
  <c r="AN98"/>
  <c r="AN99" s="1"/>
  <c r="AM98"/>
  <c r="AM99" s="1"/>
  <c r="AL98"/>
  <c r="AL99" s="1"/>
  <c r="AK98"/>
  <c r="AK99" s="1"/>
  <c r="AR97"/>
  <c r="AH97"/>
  <c r="Z97"/>
  <c r="R97"/>
  <c r="J97"/>
  <c r="AR96"/>
  <c r="AH96"/>
  <c r="Z96"/>
  <c r="R96"/>
  <c r="F90"/>
  <c r="E90"/>
  <c r="D90"/>
  <c r="C90"/>
  <c r="B90"/>
  <c r="AS88"/>
  <c r="AH88"/>
  <c r="Z88"/>
  <c r="R88"/>
  <c r="J88"/>
  <c r="J87"/>
  <c r="D81"/>
  <c r="C81"/>
  <c r="B81"/>
  <c r="AQ80"/>
  <c r="AQ81" s="1"/>
  <c r="AN80"/>
  <c r="AN81" s="1"/>
  <c r="AM80"/>
  <c r="J79"/>
  <c r="AS79" s="1"/>
  <c r="AQ71"/>
  <c r="AN71"/>
  <c r="AN72" s="1"/>
  <c r="AM71"/>
  <c r="AM72" s="1"/>
  <c r="AL71"/>
  <c r="AL72" s="1"/>
  <c r="AK71"/>
  <c r="AH70"/>
  <c r="Z70"/>
  <c r="AS67"/>
  <c r="E63"/>
  <c r="D63"/>
  <c r="C63"/>
  <c r="B63"/>
  <c r="J61"/>
  <c r="C54"/>
  <c r="B54"/>
  <c r="AQ53"/>
  <c r="AN53"/>
  <c r="AN54" s="1"/>
  <c r="AM54"/>
  <c r="AH52"/>
  <c r="Z52"/>
  <c r="R52"/>
  <c r="J52"/>
  <c r="AH51"/>
  <c r="Z51"/>
  <c r="AS49"/>
  <c r="G45"/>
  <c r="F45"/>
  <c r="E45"/>
  <c r="D45"/>
  <c r="C45"/>
  <c r="B45"/>
  <c r="AR43"/>
  <c r="AH43"/>
  <c r="Z43"/>
  <c r="R43"/>
  <c r="J43"/>
  <c r="AH42"/>
  <c r="Z42"/>
  <c r="E36"/>
  <c r="D36"/>
  <c r="C36"/>
  <c r="B36"/>
  <c r="AQ35"/>
  <c r="AQ36" s="1"/>
  <c r="AR34"/>
  <c r="AH34"/>
  <c r="Z34"/>
  <c r="R34"/>
  <c r="J34"/>
  <c r="AN27"/>
  <c r="B27"/>
  <c r="AQ26"/>
  <c r="AQ27" s="1"/>
  <c r="AM26"/>
  <c r="AM27" s="1"/>
  <c r="AH25"/>
  <c r="Z25"/>
  <c r="R25"/>
  <c r="J25"/>
  <c r="B18"/>
  <c r="AQ17"/>
  <c r="AQ18" s="1"/>
  <c r="AN17"/>
  <c r="AN18" s="1"/>
  <c r="AM17"/>
  <c r="AM18" s="1"/>
  <c r="AL17"/>
  <c r="AL18" s="1"/>
  <c r="AK17"/>
  <c r="AK18" s="1"/>
  <c r="AJ17"/>
  <c r="AJ18" s="1"/>
  <c r="AH16"/>
  <c r="Z16"/>
  <c r="R16"/>
  <c r="J16"/>
  <c r="AH15"/>
  <c r="Z15"/>
  <c r="R15"/>
  <c r="J15"/>
  <c r="F9"/>
  <c r="E9"/>
  <c r="D9"/>
  <c r="C9"/>
  <c r="B9"/>
  <c r="AH7"/>
  <c r="Z7"/>
  <c r="R7"/>
  <c r="J7"/>
  <c r="J6"/>
  <c r="AN116" i="1"/>
  <c r="AM116"/>
  <c r="AM117" s="1"/>
  <c r="AL116"/>
  <c r="AL117" s="1"/>
  <c r="AK116"/>
  <c r="AK117" s="1"/>
  <c r="AJ116"/>
  <c r="AJ117" s="1"/>
  <c r="AI116"/>
  <c r="AI117" s="1"/>
  <c r="AH116"/>
  <c r="AH117" s="1"/>
  <c r="AF117"/>
  <c r="AE117"/>
  <c r="AD117"/>
  <c r="AC117"/>
  <c r="AA117"/>
  <c r="Z117"/>
  <c r="X117"/>
  <c r="W117"/>
  <c r="V117"/>
  <c r="U117"/>
  <c r="S117"/>
  <c r="R117"/>
  <c r="P117"/>
  <c r="O117"/>
  <c r="N117"/>
  <c r="M117"/>
  <c r="K117"/>
  <c r="J117"/>
  <c r="H117"/>
  <c r="G117"/>
  <c r="F117"/>
  <c r="E117"/>
  <c r="C116"/>
  <c r="B116"/>
  <c r="B117" s="1"/>
  <c r="AP115"/>
  <c r="AG115"/>
  <c r="Y115"/>
  <c r="Q115"/>
  <c r="I115"/>
  <c r="AG114"/>
  <c r="Y114"/>
  <c r="Q114"/>
  <c r="I114"/>
  <c r="AP107"/>
  <c r="AM108"/>
  <c r="AL108"/>
  <c r="AK108"/>
  <c r="AJ108"/>
  <c r="AI108"/>
  <c r="AH108"/>
  <c r="AF108"/>
  <c r="AE108"/>
  <c r="AD108"/>
  <c r="AC108"/>
  <c r="AA108"/>
  <c r="Z108"/>
  <c r="X108"/>
  <c r="W108"/>
  <c r="V108"/>
  <c r="U108"/>
  <c r="S108"/>
  <c r="R108"/>
  <c r="P107"/>
  <c r="P108" s="1"/>
  <c r="O108"/>
  <c r="N108"/>
  <c r="M108"/>
  <c r="K108"/>
  <c r="J108"/>
  <c r="H108"/>
  <c r="G108"/>
  <c r="F108"/>
  <c r="E108"/>
  <c r="C108"/>
  <c r="AP106"/>
  <c r="AG106"/>
  <c r="Y106"/>
  <c r="Q106"/>
  <c r="I106"/>
  <c r="AP105"/>
  <c r="Y105"/>
  <c r="Q105"/>
  <c r="I105"/>
  <c r="AM99"/>
  <c r="AL99"/>
  <c r="AK99"/>
  <c r="AJ99"/>
  <c r="AI99"/>
  <c r="AF99"/>
  <c r="AE99"/>
  <c r="AD99"/>
  <c r="AC99"/>
  <c r="AA99"/>
  <c r="X99"/>
  <c r="W99"/>
  <c r="V99"/>
  <c r="U99"/>
  <c r="S99"/>
  <c r="P99"/>
  <c r="O99"/>
  <c r="N99"/>
  <c r="M99"/>
  <c r="K99"/>
  <c r="H99"/>
  <c r="G99"/>
  <c r="E99"/>
  <c r="C99"/>
  <c r="B99"/>
  <c r="AQ97"/>
  <c r="AG97"/>
  <c r="Y97"/>
  <c r="Q97"/>
  <c r="I97"/>
  <c r="AG96"/>
  <c r="Y96"/>
  <c r="AM89"/>
  <c r="AL89"/>
  <c r="AK89"/>
  <c r="AJ89"/>
  <c r="AI89"/>
  <c r="AF89"/>
  <c r="AE89"/>
  <c r="AD89"/>
  <c r="AC89"/>
  <c r="AA89"/>
  <c r="Z89"/>
  <c r="X89"/>
  <c r="W89"/>
  <c r="V89"/>
  <c r="U89"/>
  <c r="S89"/>
  <c r="R89"/>
  <c r="P89"/>
  <c r="O89"/>
  <c r="N89"/>
  <c r="M89"/>
  <c r="K89"/>
  <c r="J89"/>
  <c r="H89"/>
  <c r="G89"/>
  <c r="F89"/>
  <c r="E89"/>
  <c r="C88"/>
  <c r="C89" s="1"/>
  <c r="B88"/>
  <c r="AM79"/>
  <c r="AL79"/>
  <c r="AK79"/>
  <c r="AJ79"/>
  <c r="AI79"/>
  <c r="AF79"/>
  <c r="AE79"/>
  <c r="AD79"/>
  <c r="AC79"/>
  <c r="AA79"/>
  <c r="Z79"/>
  <c r="X79"/>
  <c r="W79"/>
  <c r="V79"/>
  <c r="U79"/>
  <c r="S79"/>
  <c r="R79"/>
  <c r="P79"/>
  <c r="O79"/>
  <c r="N79"/>
  <c r="M79"/>
  <c r="K79"/>
  <c r="H79"/>
  <c r="G79"/>
  <c r="F79"/>
  <c r="E79"/>
  <c r="C79"/>
  <c r="Y79"/>
  <c r="AQ74"/>
  <c r="D68"/>
  <c r="D69" s="1"/>
  <c r="C68"/>
  <c r="C69" s="1"/>
  <c r="B68"/>
  <c r="P59"/>
  <c r="AF59"/>
  <c r="B58"/>
  <c r="Y56"/>
  <c r="AQ54"/>
  <c r="AR54" s="1"/>
  <c r="H49"/>
  <c r="G49"/>
  <c r="F49"/>
  <c r="E49"/>
  <c r="D49"/>
  <c r="B49"/>
  <c r="AG47"/>
  <c r="Y47"/>
  <c r="I47"/>
  <c r="J39"/>
  <c r="E38"/>
  <c r="E39" s="1"/>
  <c r="D38"/>
  <c r="D39" s="1"/>
  <c r="C38"/>
  <c r="C39" s="1"/>
  <c r="B38"/>
  <c r="B39" s="1"/>
  <c r="Y37"/>
  <c r="Q37"/>
  <c r="I37"/>
  <c r="AN29"/>
  <c r="AM28"/>
  <c r="AM29" s="1"/>
  <c r="AL28"/>
  <c r="AL29" s="1"/>
  <c r="P29"/>
  <c r="E29"/>
  <c r="AG27"/>
  <c r="Y27"/>
  <c r="Q27"/>
  <c r="I27"/>
  <c r="AN19"/>
  <c r="AM19"/>
  <c r="AL19"/>
  <c r="AK19"/>
  <c r="AJ19"/>
  <c r="AI19"/>
  <c r="B19"/>
  <c r="AG17"/>
  <c r="Y17"/>
  <c r="I17"/>
  <c r="AG16"/>
  <c r="Y16"/>
  <c r="Q16"/>
  <c r="AG7"/>
  <c r="Y7"/>
  <c r="Q7"/>
  <c r="I7"/>
  <c r="AG6"/>
  <c r="Y6"/>
  <c r="Q6"/>
  <c r="E1"/>
  <c r="V63" i="2"/>
  <c r="I63"/>
  <c r="AF45" i="3"/>
  <c r="AS105" i="2"/>
  <c r="M9" i="4" s="1"/>
  <c r="AQ87" i="3"/>
  <c r="L55" i="11" s="1"/>
  <c r="AT87" i="2"/>
  <c r="K9" i="4" s="1"/>
  <c r="B108" i="1"/>
  <c r="I107"/>
  <c r="AI63" i="2"/>
  <c r="AH89" i="1"/>
  <c r="AH99"/>
  <c r="AQ98"/>
  <c r="AR98" s="1"/>
  <c r="K6" i="4" s="1"/>
  <c r="Z99" i="1"/>
  <c r="AG98"/>
  <c r="R99"/>
  <c r="Y98"/>
  <c r="J99"/>
  <c r="Q98"/>
  <c r="F99"/>
  <c r="I98"/>
  <c r="M81" i="2"/>
  <c r="Q90"/>
  <c r="B79" i="1"/>
  <c r="I79"/>
  <c r="J79"/>
  <c r="Q79"/>
  <c r="G81" i="2"/>
  <c r="K99"/>
  <c r="P108"/>
  <c r="AJ90"/>
  <c r="T99"/>
  <c r="G108"/>
  <c r="AJ63"/>
  <c r="L63"/>
  <c r="AG45"/>
  <c r="T72"/>
  <c r="AB99"/>
  <c r="F36"/>
  <c r="U81"/>
  <c r="L90"/>
  <c r="F108"/>
  <c r="H63"/>
  <c r="AH79" i="1"/>
  <c r="K72" i="2"/>
  <c r="H90"/>
  <c r="F99"/>
  <c r="U108"/>
  <c r="E54"/>
  <c r="AC72"/>
  <c r="M90"/>
  <c r="O99"/>
  <c r="AC99"/>
  <c r="L108"/>
  <c r="AH39" i="1"/>
  <c r="C18" i="2"/>
  <c r="U72"/>
  <c r="I90"/>
  <c r="S90"/>
  <c r="Q81"/>
  <c r="AA81"/>
  <c r="U45"/>
  <c r="P72"/>
  <c r="AK90"/>
  <c r="H81"/>
  <c r="V81"/>
  <c r="AJ81"/>
  <c r="AB90"/>
  <c r="AG107" i="1"/>
  <c r="J22" i="6"/>
  <c r="M26" i="2" s="1"/>
  <c r="M27" s="1"/>
  <c r="X45"/>
  <c r="I54"/>
  <c r="E81"/>
  <c r="I81"/>
  <c r="N81"/>
  <c r="S81"/>
  <c r="AB81"/>
  <c r="AK81"/>
  <c r="D99"/>
  <c r="H99"/>
  <c r="M99"/>
  <c r="Q99"/>
  <c r="V99"/>
  <c r="AA99"/>
  <c r="AE99"/>
  <c r="N108"/>
  <c r="Z38" i="6"/>
  <c r="AK44" i="2" s="1"/>
  <c r="AK45" s="1"/>
  <c r="AD46" i="6"/>
  <c r="Y45" i="2"/>
  <c r="Y54"/>
  <c r="AR97" i="1"/>
  <c r="G38" i="6"/>
  <c r="N45" i="2"/>
  <c r="S38" i="6"/>
  <c r="K108" i="2"/>
  <c r="T108"/>
  <c r="D22" i="6"/>
  <c r="F26" i="2" s="1"/>
  <c r="F27" s="1"/>
  <c r="L22" i="6"/>
  <c r="O26" i="2" s="1"/>
  <c r="O27" s="1"/>
  <c r="Y22" i="6"/>
  <c r="AD26" i="2" s="1"/>
  <c r="AD27" s="1"/>
  <c r="AG116" i="1"/>
  <c r="AL45" i="2"/>
  <c r="T54"/>
  <c r="AA54"/>
  <c r="X72"/>
  <c r="AD81"/>
  <c r="V90"/>
  <c r="AE90"/>
  <c r="E99"/>
  <c r="S99"/>
  <c r="AS106"/>
  <c r="E108"/>
  <c r="S108"/>
  <c r="AS96"/>
  <c r="L9" i="4" s="1"/>
  <c r="L38" i="6"/>
  <c r="T38"/>
  <c r="AC45" i="2"/>
  <c r="AF38" i="6"/>
  <c r="AQ44" i="2" s="1"/>
  <c r="AQ45" s="1"/>
  <c r="R46" i="6"/>
  <c r="AG44"/>
  <c r="AH44" s="1"/>
  <c r="H6" i="8" s="1"/>
  <c r="G55" i="10" s="1"/>
  <c r="AG54" i="2"/>
  <c r="P81"/>
  <c r="AI81"/>
  <c r="I99"/>
  <c r="I108"/>
  <c r="E38" i="6"/>
  <c r="M44" i="2" s="1"/>
  <c r="M45" s="1"/>
  <c r="O38" i="6"/>
  <c r="Y38"/>
  <c r="D46"/>
  <c r="O46"/>
  <c r="Z46"/>
  <c r="D72" i="3"/>
  <c r="E72" i="2"/>
  <c r="S72"/>
  <c r="P90"/>
  <c r="U90"/>
  <c r="AD90"/>
  <c r="H108"/>
  <c r="M108"/>
  <c r="Q108"/>
  <c r="V108"/>
  <c r="AQ115" i="1"/>
  <c r="Y116"/>
  <c r="I72" i="2"/>
  <c r="G90"/>
  <c r="C59" i="1"/>
  <c r="AQ106"/>
  <c r="Y107"/>
  <c r="AQ105"/>
  <c r="M22" i="11" s="1"/>
  <c r="N72" i="2"/>
  <c r="K81"/>
  <c r="O81"/>
  <c r="T81"/>
  <c r="AC81"/>
  <c r="AG19" i="6"/>
  <c r="AH19" s="1"/>
  <c r="E5" i="8" s="1"/>
  <c r="E9" s="1"/>
  <c r="K22" i="6"/>
  <c r="N26" i="2" s="1"/>
  <c r="N27" s="1"/>
  <c r="T22" i="6"/>
  <c r="X26" i="2" s="1"/>
  <c r="X27" s="1"/>
  <c r="AF22" i="6"/>
  <c r="AL26" i="2" s="1"/>
  <c r="AL27" s="1"/>
  <c r="S45"/>
  <c r="AA45"/>
  <c r="K54"/>
  <c r="O63"/>
  <c r="T63"/>
  <c r="X63"/>
  <c r="AC63"/>
  <c r="AG63"/>
  <c r="AL63"/>
  <c r="C99"/>
  <c r="G99"/>
  <c r="L99"/>
  <c r="P99"/>
  <c r="U99"/>
  <c r="AD99"/>
  <c r="AB54"/>
  <c r="I16" i="1"/>
  <c r="AQ114"/>
  <c r="M5" i="4" s="1"/>
  <c r="Q116" i="1"/>
  <c r="M63" i="2"/>
  <c r="AE63"/>
  <c r="AS97"/>
  <c r="N99"/>
  <c r="S22" i="6"/>
  <c r="W26" i="2" s="1"/>
  <c r="W27" s="1"/>
  <c r="AM45" i="3"/>
  <c r="AD54" i="2"/>
  <c r="AK54"/>
  <c r="N90"/>
  <c r="O108"/>
  <c r="AQ88" i="3"/>
  <c r="AD22" i="6"/>
  <c r="AJ26" i="2" s="1"/>
  <c r="AJ27" s="1"/>
  <c r="U30" i="6"/>
  <c r="AC35" i="2" s="1"/>
  <c r="AC36" s="1"/>
  <c r="E46" i="6"/>
  <c r="G54" i="2"/>
  <c r="H54"/>
  <c r="C72" i="3"/>
  <c r="D72" i="2"/>
  <c r="G72" i="3"/>
  <c r="H72" i="2"/>
  <c r="M72"/>
  <c r="Q72"/>
  <c r="V72"/>
  <c r="AE72"/>
  <c r="AJ72"/>
  <c r="O90"/>
  <c r="T90"/>
  <c r="AC90"/>
  <c r="AL90"/>
  <c r="AP106" i="3"/>
  <c r="E22" i="6"/>
  <c r="G26" i="2" s="1"/>
  <c r="G27" s="1"/>
  <c r="M22" i="6"/>
  <c r="P26" i="2" s="1"/>
  <c r="P27" s="1"/>
  <c r="Z22" i="6"/>
  <c r="AE26" i="2" s="1"/>
  <c r="AE27" s="1"/>
  <c r="AG20" i="6"/>
  <c r="AH20" s="1"/>
  <c r="E6" i="8" s="1"/>
  <c r="AC30" i="6"/>
  <c r="AL35" i="2" s="1"/>
  <c r="AL36" s="1"/>
  <c r="N38" i="6"/>
  <c r="U38"/>
  <c r="AE44" i="2" s="1"/>
  <c r="B46" i="6"/>
  <c r="K46"/>
  <c r="O53" i="2" s="1"/>
  <c r="O54" s="1"/>
  <c r="X46" i="6"/>
  <c r="AP97" i="3"/>
  <c r="AN59" i="1"/>
  <c r="E69"/>
  <c r="D79"/>
  <c r="L79"/>
  <c r="T79"/>
  <c r="AB79"/>
  <c r="AN79"/>
  <c r="D89"/>
  <c r="L89"/>
  <c r="T89"/>
  <c r="AB89"/>
  <c r="AN89"/>
  <c r="D99"/>
  <c r="L99"/>
  <c r="T99"/>
  <c r="AB99"/>
  <c r="AN99"/>
  <c r="D108"/>
  <c r="L108"/>
  <c r="T108"/>
  <c r="AB108"/>
  <c r="AN108"/>
  <c r="D117"/>
  <c r="L117"/>
  <c r="T117"/>
  <c r="AB117"/>
  <c r="C49"/>
  <c r="S63" i="2"/>
  <c r="AA63"/>
  <c r="B18" i="3"/>
  <c r="P30" i="6"/>
  <c r="W35" i="2" s="1"/>
  <c r="W36" s="1"/>
  <c r="I46" i="6"/>
  <c r="M53" i="2" s="1"/>
  <c r="M54" s="1"/>
  <c r="AG36" i="6"/>
  <c r="AH36" s="1"/>
  <c r="G6" i="8" s="1"/>
  <c r="F55" i="10" s="1"/>
  <c r="B72" i="3"/>
  <c r="AG35" i="6"/>
  <c r="AH35" s="1"/>
  <c r="G5" i="8" s="1"/>
  <c r="G9" s="1"/>
  <c r="M30" i="10"/>
  <c r="M34"/>
  <c r="I72" i="3"/>
  <c r="AI90" i="2"/>
  <c r="K90"/>
  <c r="R89"/>
  <c r="AA90"/>
  <c r="AL81"/>
  <c r="J62"/>
  <c r="F9" i="3"/>
  <c r="AN45"/>
  <c r="J89" i="2"/>
  <c r="AJ45"/>
  <c r="AQ116" i="1"/>
  <c r="M6" i="4" s="1"/>
  <c r="F81" i="2"/>
  <c r="AQ107" i="1"/>
  <c r="S54" i="2"/>
  <c r="J98"/>
  <c r="U54"/>
  <c r="F63"/>
  <c r="F54"/>
  <c r="AE54"/>
  <c r="W45"/>
  <c r="D54"/>
  <c r="AD45"/>
  <c r="U45" i="3"/>
  <c r="J107" i="2"/>
  <c r="R98"/>
  <c r="R107"/>
  <c r="N54"/>
  <c r="AM27" i="3"/>
  <c r="B29" i="1"/>
  <c r="AP98" i="3"/>
  <c r="L14" i="4" s="1"/>
  <c r="M56" i="11" s="1"/>
  <c r="AS107" i="2"/>
  <c r="AP107" i="3"/>
  <c r="M14" i="4" s="1"/>
  <c r="AQ89" i="3"/>
  <c r="AT89" i="2"/>
  <c r="AJ54"/>
  <c r="AS98"/>
  <c r="L10" i="4" s="1"/>
  <c r="L45" i="2"/>
  <c r="J53"/>
  <c r="C54" i="3"/>
  <c r="V45" i="2"/>
  <c r="L54"/>
  <c r="C27"/>
  <c r="B27" i="3"/>
  <c r="I4" i="10"/>
  <c r="D4" i="13"/>
  <c r="E4"/>
  <c r="K4" i="10"/>
  <c r="C4" i="13"/>
  <c r="B4"/>
  <c r="K81" i="11"/>
  <c r="J81"/>
  <c r="J80"/>
  <c r="L4" i="10"/>
  <c r="M80" i="11"/>
  <c r="M81"/>
  <c r="G81"/>
  <c r="G80"/>
  <c r="F4" i="10"/>
  <c r="G4" i="13"/>
  <c r="F4"/>
  <c r="C4" i="10"/>
  <c r="B4"/>
  <c r="L81" i="11"/>
  <c r="L80"/>
  <c r="D81"/>
  <c r="D80"/>
  <c r="C81"/>
  <c r="C80"/>
  <c r="K80"/>
  <c r="J4" i="10"/>
  <c r="H4" i="13"/>
  <c r="N81" i="11"/>
  <c r="M4" i="10"/>
  <c r="N80" i="11"/>
  <c r="E4" i="10"/>
  <c r="F81" i="11"/>
  <c r="F80"/>
  <c r="E81"/>
  <c r="E80"/>
  <c r="D4" i="10"/>
  <c r="G4"/>
  <c r="H81" i="11"/>
  <c r="H80"/>
  <c r="H4" i="10"/>
  <c r="I80" i="11"/>
  <c r="I81"/>
  <c r="O77"/>
  <c r="AB69" i="1"/>
  <c r="I88" l="1"/>
  <c r="J81" i="3"/>
  <c r="L80" i="2"/>
  <c r="R80" s="1"/>
  <c r="AO80" i="3"/>
  <c r="AP79"/>
  <c r="I99" i="1"/>
  <c r="AM81" i="2"/>
  <c r="AR80"/>
  <c r="AR81" s="1"/>
  <c r="B89" i="1"/>
  <c r="D81" i="3"/>
  <c r="I80"/>
  <c r="E59" i="10"/>
  <c r="E34"/>
  <c r="E38" s="1"/>
  <c r="G51"/>
  <c r="G53" s="1"/>
  <c r="AG72" i="2"/>
  <c r="AI71"/>
  <c r="AB72" i="3"/>
  <c r="AD71" i="2"/>
  <c r="AD72" s="1"/>
  <c r="X72" i="3"/>
  <c r="AA71" i="2"/>
  <c r="AG89" i="1"/>
  <c r="J11" i="13"/>
  <c r="U72" i="3"/>
  <c r="W71" i="2"/>
  <c r="F12" i="7"/>
  <c r="F13" s="1"/>
  <c r="Q46" i="6"/>
  <c r="V53" i="2" s="1"/>
  <c r="V54" s="1"/>
  <c r="AR18"/>
  <c r="AE89" i="3"/>
  <c r="AE90" s="1"/>
  <c r="N11" i="9"/>
  <c r="N13" s="1"/>
  <c r="M87" i="10" s="1"/>
  <c r="AA107" i="3"/>
  <c r="AA108" s="1"/>
  <c r="AJ98" i="2"/>
  <c r="AJ99" s="1"/>
  <c r="E35" i="3"/>
  <c r="E36" s="1"/>
  <c r="AS70" i="2"/>
  <c r="AO18" i="3"/>
  <c r="AD107"/>
  <c r="AD108" s="1"/>
  <c r="L36" i="10"/>
  <c r="L84"/>
  <c r="AQ48" i="1"/>
  <c r="I9" i="4"/>
  <c r="E56" i="11"/>
  <c r="E57" s="1"/>
  <c r="AF71" i="2"/>
  <c r="AF72" s="1"/>
  <c r="J72" i="3"/>
  <c r="L71" i="2"/>
  <c r="R71" s="1"/>
  <c r="J44"/>
  <c r="J45" s="1"/>
  <c r="M80" i="10"/>
  <c r="F10" i="8"/>
  <c r="AP108" i="1"/>
  <c r="M9" i="9"/>
  <c r="M6" s="1"/>
  <c r="L10" i="8"/>
  <c r="K55" i="10"/>
  <c r="K57" s="1"/>
  <c r="J90" i="2"/>
  <c r="D7" i="7"/>
  <c r="C34" i="13" s="1"/>
  <c r="C36" s="1"/>
  <c r="C30" i="10"/>
  <c r="C32" s="1"/>
  <c r="C7" i="9"/>
  <c r="B82" i="13" s="1"/>
  <c r="B84" s="1"/>
  <c r="B78" i="10"/>
  <c r="B80" s="1"/>
  <c r="N22" i="11"/>
  <c r="R90" i="2"/>
  <c r="M12" i="9"/>
  <c r="L78" i="10"/>
  <c r="L80" s="1"/>
  <c r="X80" i="2"/>
  <c r="X81" s="1"/>
  <c r="AA107"/>
  <c r="AA108" s="1"/>
  <c r="AN89"/>
  <c r="AN90" s="1"/>
  <c r="AI107"/>
  <c r="AI108" s="1"/>
  <c r="AR99"/>
  <c r="J99"/>
  <c r="G8"/>
  <c r="G9" s="1"/>
  <c r="AK107"/>
  <c r="AK108" s="1"/>
  <c r="D61" i="10"/>
  <c r="E61" i="13"/>
  <c r="L61" i="10"/>
  <c r="I82" i="11"/>
  <c r="B30" i="10"/>
  <c r="B32" s="1"/>
  <c r="C5" i="9"/>
  <c r="B78" i="13" s="1"/>
  <c r="B80" s="1"/>
  <c r="B82" i="10"/>
  <c r="B84" s="1"/>
  <c r="J32"/>
  <c r="AM63" i="2"/>
  <c r="S68" i="1"/>
  <c r="Y68" s="1"/>
  <c r="D11" i="8"/>
  <c r="C59" i="13"/>
  <c r="C61" s="1"/>
  <c r="M7" i="4"/>
  <c r="J81" i="2"/>
  <c r="AG107"/>
  <c r="AG108" s="1"/>
  <c r="I68" i="1"/>
  <c r="B72" i="2"/>
  <c r="C71"/>
  <c r="J71" s="1"/>
  <c r="AS60"/>
  <c r="AB63"/>
  <c r="I36" i="10"/>
  <c r="I30"/>
  <c r="I38" s="1"/>
  <c r="E57"/>
  <c r="AP68" i="1"/>
  <c r="AP69" s="1"/>
  <c r="AQ99"/>
  <c r="E58"/>
  <c r="E59" s="1"/>
  <c r="R58"/>
  <c r="R59" s="1"/>
  <c r="AC58"/>
  <c r="AC59" s="1"/>
  <c r="E55" i="13"/>
  <c r="E57" s="1"/>
  <c r="J63" i="2"/>
  <c r="AQ108" i="1"/>
  <c r="L39" i="11"/>
  <c r="AH18" i="3"/>
  <c r="X107" i="2"/>
  <c r="X108" s="1"/>
  <c r="AO72" i="3"/>
  <c r="M32" i="10"/>
  <c r="N13" i="7"/>
  <c r="G58" i="1"/>
  <c r="G59" s="1"/>
  <c r="M58"/>
  <c r="M59" s="1"/>
  <c r="T58"/>
  <c r="T59" s="1"/>
  <c r="AA58"/>
  <c r="AA59" s="1"/>
  <c r="AE58"/>
  <c r="AE59" s="1"/>
  <c r="AJ58"/>
  <c r="AJ59" s="1"/>
  <c r="Z69"/>
  <c r="V58"/>
  <c r="V59" s="1"/>
  <c r="AA68"/>
  <c r="AA69" s="1"/>
  <c r="I89" i="3"/>
  <c r="I90" s="1"/>
  <c r="M51" i="10"/>
  <c r="M53" s="1"/>
  <c r="J54" i="2"/>
  <c r="R108"/>
  <c r="L5" i="4"/>
  <c r="C57" i="10"/>
  <c r="D56" i="11"/>
  <c r="D57" s="1"/>
  <c r="AF98" i="2"/>
  <c r="AF99" s="1"/>
  <c r="AO62" i="1"/>
  <c r="D58"/>
  <c r="D59" s="1"/>
  <c r="R69"/>
  <c r="Q44" i="3"/>
  <c r="Q45" s="1"/>
  <c r="R99" i="2"/>
  <c r="W98"/>
  <c r="W99" s="1"/>
  <c r="B36" i="13"/>
  <c r="B59" i="1"/>
  <c r="F58"/>
  <c r="F59" s="1"/>
  <c r="L58"/>
  <c r="S58"/>
  <c r="S59" s="1"/>
  <c r="Z58"/>
  <c r="Z59" s="1"/>
  <c r="AD58"/>
  <c r="AD59" s="1"/>
  <c r="AI58"/>
  <c r="D82" i="13"/>
  <c r="D84" s="1"/>
  <c r="D82" i="10"/>
  <c r="D84" s="1"/>
  <c r="N10" i="8"/>
  <c r="N12" s="1"/>
  <c r="M64" i="10" s="1"/>
  <c r="M55"/>
  <c r="M57" s="1"/>
  <c r="N8" i="8"/>
  <c r="M63" i="10" s="1"/>
  <c r="F78" i="13"/>
  <c r="F80" s="1"/>
  <c r="F78" i="10"/>
  <c r="F80" s="1"/>
  <c r="G11" i="9"/>
  <c r="E78" i="13"/>
  <c r="E80" s="1"/>
  <c r="F11" i="9"/>
  <c r="D59" i="13"/>
  <c r="D61" s="1"/>
  <c r="M57" i="11"/>
  <c r="M36" i="10"/>
  <c r="M59"/>
  <c r="M61" s="1"/>
  <c r="L51"/>
  <c r="L53" s="1"/>
  <c r="Y80" i="2"/>
  <c r="Y81" s="1"/>
  <c r="Z8"/>
  <c r="Z9" s="1"/>
  <c r="AF72" i="3"/>
  <c r="I80" i="10"/>
  <c r="L9" i="7"/>
  <c r="L6" s="1"/>
  <c r="G57" i="11"/>
  <c r="H84" i="10"/>
  <c r="G55" i="13"/>
  <c r="G57" s="1"/>
  <c r="E11" i="8"/>
  <c r="Z44" i="2"/>
  <c r="Z45" s="1"/>
  <c r="L13" i="4"/>
  <c r="E61" i="10"/>
  <c r="Q107" i="1"/>
  <c r="Q108" s="1"/>
  <c r="AD107" i="2"/>
  <c r="AD108" s="1"/>
  <c r="K53" i="10"/>
  <c r="AP24" i="3"/>
  <c r="D13" i="4" s="1"/>
  <c r="D36" i="10"/>
  <c r="M13" i="4"/>
  <c r="M15" s="1"/>
  <c r="X89" i="3"/>
  <c r="X90" s="1"/>
  <c r="Y107" i="2"/>
  <c r="Y108" s="1"/>
  <c r="AR53"/>
  <c r="AR54" s="1"/>
  <c r="W54" i="6"/>
  <c r="AG54" s="1"/>
  <c r="AE107" i="3"/>
  <c r="AE108" s="1"/>
  <c r="G36" i="2"/>
  <c r="J35"/>
  <c r="J36" s="1"/>
  <c r="J26"/>
  <c r="J27" s="1"/>
  <c r="D27"/>
  <c r="M10" i="8"/>
  <c r="L55" i="10"/>
  <c r="L57" s="1"/>
  <c r="W98" i="3"/>
  <c r="W99" s="1"/>
  <c r="X98" i="2"/>
  <c r="X99" s="1"/>
  <c r="AF98" i="3"/>
  <c r="AF99" s="1"/>
  <c r="AG98" i="2"/>
  <c r="AG99" s="1"/>
  <c r="C8" i="8"/>
  <c r="B63" i="13" s="1"/>
  <c r="AS108" i="2"/>
  <c r="F11" i="8"/>
  <c r="AQ99" i="2"/>
  <c r="AG89"/>
  <c r="Z62"/>
  <c r="Z63" s="1"/>
  <c r="X89"/>
  <c r="X90" s="1"/>
  <c r="AQ117" i="1"/>
  <c r="O80" i="11"/>
  <c r="AI18" i="2"/>
  <c r="N39" i="11"/>
  <c r="AJ45" i="3"/>
  <c r="K82" i="10"/>
  <c r="K84" s="1"/>
  <c r="M11" i="9"/>
  <c r="F57" i="10"/>
  <c r="W107" i="2"/>
  <c r="G57" i="10"/>
  <c r="AQ89" i="2"/>
  <c r="AQ90" s="1"/>
  <c r="Q99" i="1"/>
  <c r="J108" i="2"/>
  <c r="G82" i="11"/>
  <c r="G83"/>
  <c r="AR44" i="2"/>
  <c r="AR45" s="1"/>
  <c r="N4" i="10"/>
  <c r="AQ90" i="3"/>
  <c r="C82" i="10"/>
  <c r="C84" s="1"/>
  <c r="AH44" i="2"/>
  <c r="AH45" s="1"/>
  <c r="Y98"/>
  <c r="Y99" s="1"/>
  <c r="Y108" i="1"/>
  <c r="AG117"/>
  <c r="M82" i="11"/>
  <c r="K83"/>
  <c r="O10" i="10"/>
  <c r="M8" i="8"/>
  <c r="L63" i="10" s="1"/>
  <c r="I17" i="3"/>
  <c r="I18" s="1"/>
  <c r="AS24" i="2"/>
  <c r="D9" i="4" s="1"/>
  <c r="G53" i="13"/>
  <c r="Y117" i="1"/>
  <c r="AG108"/>
  <c r="AP89"/>
  <c r="AQ56"/>
  <c r="C61" i="10"/>
  <c r="K9" i="7"/>
  <c r="K8" s="1"/>
  <c r="E80" i="10"/>
  <c r="G84"/>
  <c r="AO72" i="1"/>
  <c r="I5" i="7" s="1"/>
  <c r="I11" s="1"/>
  <c r="N56" i="11"/>
  <c r="N57" s="1"/>
  <c r="J10" i="8"/>
  <c r="I55" i="10"/>
  <c r="I57" s="1"/>
  <c r="G59" i="13"/>
  <c r="G61" s="1"/>
  <c r="H11" i="8"/>
  <c r="G59" i="10"/>
  <c r="G61" s="1"/>
  <c r="W54" i="2"/>
  <c r="K11" i="8"/>
  <c r="K12" s="1"/>
  <c r="J64" i="10" s="1"/>
  <c r="J59"/>
  <c r="J61" s="1"/>
  <c r="D83" i="11"/>
  <c r="D82"/>
  <c r="D11" i="7"/>
  <c r="C30" i="13"/>
  <c r="C32" s="1"/>
  <c r="M38" i="10"/>
  <c r="K22" i="11"/>
  <c r="AI98" i="2"/>
  <c r="AI99" s="1"/>
  <c r="I38" i="1"/>
  <c r="I39" s="1"/>
  <c r="AK107" i="3"/>
  <c r="AK108" s="1"/>
  <c r="AL107" i="2"/>
  <c r="AL108" s="1"/>
  <c r="N83" i="11"/>
  <c r="N82"/>
  <c r="AH63" i="3"/>
  <c r="AO62"/>
  <c r="AO63" s="1"/>
  <c r="Z17" i="2"/>
  <c r="Z18" s="1"/>
  <c r="O81" i="11"/>
  <c r="I4" i="13"/>
  <c r="K39" i="11"/>
  <c r="M39"/>
  <c r="M5" s="1"/>
  <c r="B34" i="10"/>
  <c r="C12" i="7"/>
  <c r="C13" s="1"/>
  <c r="H9" i="8"/>
  <c r="AH72" i="3"/>
  <c r="Z26" i="2"/>
  <c r="Z27" s="1"/>
  <c r="J82" i="10"/>
  <c r="J84" s="1"/>
  <c r="M11" i="8"/>
  <c r="J11" i="9"/>
  <c r="Q89" i="1"/>
  <c r="AM89" i="2"/>
  <c r="W89"/>
  <c r="W90" s="1"/>
  <c r="AC107"/>
  <c r="H18" i="3"/>
  <c r="AQ27" i="1"/>
  <c r="AS15" i="2"/>
  <c r="C9" i="4" s="1"/>
  <c r="O7" i="8"/>
  <c r="I59" i="13" s="1"/>
  <c r="Z72" i="3"/>
  <c r="V80"/>
  <c r="V81" s="1"/>
  <c r="W80" i="2"/>
  <c r="B63" i="3"/>
  <c r="I62"/>
  <c r="L11" i="7"/>
  <c r="L13" s="1"/>
  <c r="Q8" i="1"/>
  <c r="Q9" s="1"/>
  <c r="Z19"/>
  <c r="AG18"/>
  <c r="AG19" s="1"/>
  <c r="E36" i="13"/>
  <c r="AS33" i="2"/>
  <c r="I6" i="8"/>
  <c r="I8" s="1"/>
  <c r="Y72" i="3"/>
  <c r="R17" i="2"/>
  <c r="R18" s="1"/>
  <c r="K9" i="9"/>
  <c r="K12"/>
  <c r="J51" i="10"/>
  <c r="J53" s="1"/>
  <c r="Y99" i="1"/>
  <c r="Q38"/>
  <c r="Q39" s="1"/>
  <c r="R44" i="2"/>
  <c r="D8" i="8"/>
  <c r="AS99" i="2"/>
  <c r="K34" i="10"/>
  <c r="K36" s="1"/>
  <c r="Q117" i="1"/>
  <c r="AG80" i="2"/>
  <c r="AG81" s="1"/>
  <c r="I89" i="1"/>
  <c r="AF80" i="2"/>
  <c r="AF81" s="1"/>
  <c r="AP116" i="1"/>
  <c r="AP117" s="1"/>
  <c r="AN117"/>
  <c r="AK72" i="2"/>
  <c r="C51" i="10"/>
  <c r="C53" s="1"/>
  <c r="C51" i="13"/>
  <c r="C53" s="1"/>
  <c r="I108" i="1"/>
  <c r="AS43" i="2"/>
  <c r="AS52"/>
  <c r="N3" i="10"/>
  <c r="C56" i="11"/>
  <c r="C57" s="1"/>
  <c r="AJ9" i="3"/>
  <c r="Y38" i="1"/>
  <c r="Y39" s="1"/>
  <c r="I8" i="3"/>
  <c r="I9" s="1"/>
  <c r="F84" i="10"/>
  <c r="AT7" i="2"/>
  <c r="AS16"/>
  <c r="AS25"/>
  <c r="AS42"/>
  <c r="F9" i="4" s="1"/>
  <c r="E82" i="11"/>
  <c r="O11" i="10"/>
  <c r="J10" i="13"/>
  <c r="Y89" i="1"/>
  <c r="L9" i="9"/>
  <c r="L8" s="1"/>
  <c r="AP33" i="3"/>
  <c r="E13" i="4" s="1"/>
  <c r="AG48" i="1"/>
  <c r="AG49" s="1"/>
  <c r="AS61" i="2"/>
  <c r="S62" i="3"/>
  <c r="Y62" s="1"/>
  <c r="Y63" s="1"/>
  <c r="AO65"/>
  <c r="I5" i="9" s="1"/>
  <c r="Z63" i="3"/>
  <c r="AG62"/>
  <c r="AG63" s="1"/>
  <c r="AS51" i="2"/>
  <c r="J63" i="3"/>
  <c r="Q62"/>
  <c r="Q63" s="1"/>
  <c r="Y17"/>
  <c r="Y18" s="1"/>
  <c r="Q26"/>
  <c r="Q27" s="1"/>
  <c r="AQ26" i="1"/>
  <c r="AO35" i="3"/>
  <c r="AO36" s="1"/>
  <c r="AP28" i="1"/>
  <c r="AP29" s="1"/>
  <c r="AP8" i="3"/>
  <c r="AP9" s="1"/>
  <c r="E12" i="9"/>
  <c r="AO26" i="3"/>
  <c r="AO27" s="1"/>
  <c r="AP108"/>
  <c r="K13" i="4"/>
  <c r="N9" i="9"/>
  <c r="M82" i="10"/>
  <c r="M84" s="1"/>
  <c r="AO98" i="3"/>
  <c r="AO99" s="1"/>
  <c r="AQ6"/>
  <c r="B13" i="4" s="1"/>
  <c r="K14"/>
  <c r="AP34" i="3"/>
  <c r="AP61"/>
  <c r="C82" i="13"/>
  <c r="C84" s="1"/>
  <c r="AG26" i="3"/>
  <c r="AG27" s="1"/>
  <c r="I44"/>
  <c r="I45" s="1"/>
  <c r="D9" i="9"/>
  <c r="D8" s="1"/>
  <c r="AG44" i="3"/>
  <c r="AG45" s="1"/>
  <c r="E11" i="9"/>
  <c r="D78" i="13"/>
  <c r="D80" s="1"/>
  <c r="E82"/>
  <c r="E84" s="1"/>
  <c r="F9" i="9"/>
  <c r="F6" s="1"/>
  <c r="F12"/>
  <c r="E82" i="10"/>
  <c r="E84" s="1"/>
  <c r="Y26" i="3"/>
  <c r="Y27" s="1"/>
  <c r="AP42"/>
  <c r="F13" i="4" s="1"/>
  <c r="AG8" i="3"/>
  <c r="AG9" s="1"/>
  <c r="Y44"/>
  <c r="Y45" s="1"/>
  <c r="J55" i="11"/>
  <c r="AI99" i="3"/>
  <c r="AH81"/>
  <c r="AD27"/>
  <c r="S18"/>
  <c r="AH36"/>
  <c r="AP16"/>
  <c r="AP43"/>
  <c r="Q17"/>
  <c r="Q18" s="1"/>
  <c r="C78" i="10"/>
  <c r="C80" s="1"/>
  <c r="D11" i="9"/>
  <c r="D13" s="1"/>
  <c r="AP99" i="3"/>
  <c r="I107"/>
  <c r="I108" s="1"/>
  <c r="R72"/>
  <c r="R27"/>
  <c r="J27"/>
  <c r="G9"/>
  <c r="F82" i="13"/>
  <c r="F84" s="1"/>
  <c r="AP51" i="3"/>
  <c r="G13" i="4" s="1"/>
  <c r="C78" i="13"/>
  <c r="C80" s="1"/>
  <c r="G9" i="9"/>
  <c r="G6" s="1"/>
  <c r="F56" i="11"/>
  <c r="F57" s="1"/>
  <c r="AG17" i="3"/>
  <c r="AG18" s="1"/>
  <c r="AQ7"/>
  <c r="AO56"/>
  <c r="H5" i="9" s="1"/>
  <c r="G11" i="7"/>
  <c r="F30" i="10"/>
  <c r="F32" s="1"/>
  <c r="G9" i="7"/>
  <c r="G6" s="1"/>
  <c r="F30" i="13"/>
  <c r="F32" s="1"/>
  <c r="G12" i="7"/>
  <c r="F34" i="13"/>
  <c r="F34" i="10"/>
  <c r="F36" s="1"/>
  <c r="J59" i="1"/>
  <c r="H12" i="7"/>
  <c r="G34" i="10"/>
  <c r="G36" s="1"/>
  <c r="G34" i="13"/>
  <c r="G36" s="1"/>
  <c r="AB59" i="1"/>
  <c r="AG38"/>
  <c r="Y8"/>
  <c r="Y9" s="1"/>
  <c r="F9" i="7"/>
  <c r="F8" s="1"/>
  <c r="R39" i="1"/>
  <c r="C36" i="10"/>
  <c r="Y18" i="1"/>
  <c r="Y19" s="1"/>
  <c r="AH29"/>
  <c r="AQ7"/>
  <c r="AR47"/>
  <c r="AR96"/>
  <c r="K5" i="4" s="1"/>
  <c r="I28" i="1"/>
  <c r="I29" s="1"/>
  <c r="Q18"/>
  <c r="Q19" s="1"/>
  <c r="Y28"/>
  <c r="Y29" s="1"/>
  <c r="Y48"/>
  <c r="Y49" s="1"/>
  <c r="L6" i="4"/>
  <c r="M23" i="11" s="1"/>
  <c r="M24" s="1"/>
  <c r="E9" i="7"/>
  <c r="E6" s="1"/>
  <c r="E12"/>
  <c r="C9"/>
  <c r="J34" i="10"/>
  <c r="I18" i="1"/>
  <c r="I19" s="1"/>
  <c r="D34" i="13"/>
  <c r="D36" s="1"/>
  <c r="AP8" i="1"/>
  <c r="AP9" s="1"/>
  <c r="AQ37"/>
  <c r="T69"/>
  <c r="AQ66"/>
  <c r="E32" i="10"/>
  <c r="J68" i="1"/>
  <c r="Q68" s="1"/>
  <c r="E30" i="13"/>
  <c r="E38" s="1"/>
  <c r="B30"/>
  <c r="K30" i="10"/>
  <c r="AP38" i="1"/>
  <c r="AP39" s="1"/>
  <c r="AR46"/>
  <c r="G22" i="11" s="1"/>
  <c r="AQ67" i="1"/>
  <c r="AR63" i="2"/>
  <c r="H82" i="13"/>
  <c r="H84" s="1"/>
  <c r="I12" i="9"/>
  <c r="H53" i="10"/>
  <c r="H34"/>
  <c r="H36" s="1"/>
  <c r="H34" i="13"/>
  <c r="H36" s="1"/>
  <c r="I12" i="7"/>
  <c r="AH69" i="1"/>
  <c r="J11" i="8"/>
  <c r="I59" i="10"/>
  <c r="I61" s="1"/>
  <c r="AH26" i="2"/>
  <c r="AH27" s="1"/>
  <c r="AC27"/>
  <c r="L23" i="11"/>
  <c r="E10" i="8"/>
  <c r="D55" i="10"/>
  <c r="D57" s="1"/>
  <c r="E8" i="8"/>
  <c r="D55" i="13"/>
  <c r="D57" s="1"/>
  <c r="R62" i="2"/>
  <c r="R63" s="1"/>
  <c r="K63"/>
  <c r="K26"/>
  <c r="AI22" i="6"/>
  <c r="N23" i="11"/>
  <c r="R35" i="2"/>
  <c r="AH35"/>
  <c r="AH36" s="1"/>
  <c r="AI107" i="3"/>
  <c r="L81"/>
  <c r="Q81"/>
  <c r="K59" i="10"/>
  <c r="K61" s="1"/>
  <c r="L11" i="8"/>
  <c r="I8" i="1"/>
  <c r="C9"/>
  <c r="AH49"/>
  <c r="Q48"/>
  <c r="Q49" s="1"/>
  <c r="I53" i="3"/>
  <c r="B59" i="13"/>
  <c r="B61" s="1"/>
  <c r="R53" i="2"/>
  <c r="Z35"/>
  <c r="Z36" s="1"/>
  <c r="AH8"/>
  <c r="AH9" s="1"/>
  <c r="AS8"/>
  <c r="AS9" s="1"/>
  <c r="AH53"/>
  <c r="AH54" s="1"/>
  <c r="L11" i="4"/>
  <c r="M40" i="11"/>
  <c r="B99" i="3"/>
  <c r="I98"/>
  <c r="I99" s="1"/>
  <c r="H10" i="8"/>
  <c r="H8"/>
  <c r="AG99" i="1"/>
  <c r="J39" i="11"/>
  <c r="AA18" i="2"/>
  <c r="AH17"/>
  <c r="AH18" s="1"/>
  <c r="AD80" i="3"/>
  <c r="AE80" i="2"/>
  <c r="L8" i="8"/>
  <c r="K63" i="10" s="1"/>
  <c r="L9" i="8"/>
  <c r="J12" i="7"/>
  <c r="J13" s="1"/>
  <c r="J9"/>
  <c r="J6" s="1"/>
  <c r="K11" i="9"/>
  <c r="J78" i="10"/>
  <c r="J80" s="1"/>
  <c r="L11" i="9"/>
  <c r="L13" s="1"/>
  <c r="K87" i="10" s="1"/>
  <c r="K78"/>
  <c r="K80" s="1"/>
  <c r="M11" i="7"/>
  <c r="M9"/>
  <c r="M6" s="1"/>
  <c r="L30" i="10"/>
  <c r="B55" i="13"/>
  <c r="B57" s="1"/>
  <c r="B55" i="10"/>
  <c r="B57" s="1"/>
  <c r="AQ16" i="1"/>
  <c r="AR17" s="1"/>
  <c r="L108" i="3"/>
  <c r="Q107"/>
  <c r="Q108" s="1"/>
  <c r="H59" i="13"/>
  <c r="H61" s="1"/>
  <c r="I11" i="8"/>
  <c r="H59" i="10"/>
  <c r="H61" s="1"/>
  <c r="J8" i="8"/>
  <c r="I63" i="10" s="1"/>
  <c r="AN90" i="3"/>
  <c r="AP89"/>
  <c r="AP90" s="1"/>
  <c r="AL107"/>
  <c r="AL108" s="1"/>
  <c r="AM107" i="2"/>
  <c r="AM108" s="1"/>
  <c r="J9" i="8"/>
  <c r="Y107" i="3"/>
  <c r="Y108" s="1"/>
  <c r="G8" i="8"/>
  <c r="F51" i="13"/>
  <c r="F53" s="1"/>
  <c r="F51" i="10"/>
  <c r="F53" s="1"/>
  <c r="D51" i="13"/>
  <c r="D53" s="1"/>
  <c r="D51" i="10"/>
  <c r="D53" s="1"/>
  <c r="AR26" i="2"/>
  <c r="AR27" s="1"/>
  <c r="B69" i="1"/>
  <c r="C117"/>
  <c r="I116"/>
  <c r="I117" s="1"/>
  <c r="AS34" i="2"/>
  <c r="C11" i="8"/>
  <c r="C12" s="1"/>
  <c r="B59" i="10"/>
  <c r="B61" s="1"/>
  <c r="R8" i="2"/>
  <c r="K9"/>
  <c r="R81" i="3"/>
  <c r="Q28" i="1"/>
  <c r="K29"/>
  <c r="D78" i="10"/>
  <c r="D80" s="1"/>
  <c r="E9" i="9"/>
  <c r="G12"/>
  <c r="Q53" i="3"/>
  <c r="Q54" s="1"/>
  <c r="Y35"/>
  <c r="Y36" s="1"/>
  <c r="Q35"/>
  <c r="I51" i="10"/>
  <c r="I53" s="1"/>
  <c r="AE45" i="2"/>
  <c r="AT90"/>
  <c r="K10" i="4"/>
  <c r="F55" i="13"/>
  <c r="F57" s="1"/>
  <c r="G10" i="8"/>
  <c r="G12" s="1"/>
  <c r="J90" i="3"/>
  <c r="Q89"/>
  <c r="Q90" s="1"/>
  <c r="T9" i="2"/>
  <c r="AR35"/>
  <c r="AR36" s="1"/>
  <c r="N99" i="3"/>
  <c r="Q98"/>
  <c r="Q99" s="1"/>
  <c r="J83" i="11"/>
  <c r="J82"/>
  <c r="J12" i="9"/>
  <c r="I82" i="10"/>
  <c r="I84" s="1"/>
  <c r="J9" i="9"/>
  <c r="M10" i="4"/>
  <c r="AQ6" i="1"/>
  <c r="AQ17"/>
  <c r="C55" i="13"/>
  <c r="C57" s="1"/>
  <c r="D10" i="8"/>
  <c r="D18" i="2"/>
  <c r="J17"/>
  <c r="F59" i="13"/>
  <c r="F61" s="1"/>
  <c r="F59" i="10"/>
  <c r="F61" s="1"/>
  <c r="I9" i="8"/>
  <c r="H51" i="13"/>
  <c r="K8" i="8"/>
  <c r="J63" i="10" s="1"/>
  <c r="J55"/>
  <c r="J57" s="1"/>
  <c r="O4" i="5"/>
  <c r="N8"/>
  <c r="H83" i="11"/>
  <c r="H82"/>
  <c r="AG79" i="1"/>
  <c r="B51" i="13"/>
  <c r="B53" s="1"/>
  <c r="B51" i="10"/>
  <c r="B53" s="1"/>
  <c r="AG8" i="1"/>
  <c r="AG9" s="1"/>
  <c r="AA9"/>
  <c r="E11" i="7"/>
  <c r="D30" i="13"/>
  <c r="D30" i="10"/>
  <c r="AG35" i="3"/>
  <c r="AG36" s="1"/>
  <c r="AP52"/>
  <c r="K11" i="7"/>
  <c r="K13" s="1"/>
  <c r="AP18" i="1"/>
  <c r="AH19"/>
  <c r="AP15" i="3"/>
  <c r="C13" i="4" s="1"/>
  <c r="AG28" i="1"/>
  <c r="AG29" s="1"/>
  <c r="H12" i="9"/>
  <c r="G82" i="13"/>
  <c r="G84" s="1"/>
  <c r="AT6" i="2"/>
  <c r="O79" i="11"/>
  <c r="O83" s="1"/>
  <c r="C82"/>
  <c r="L82"/>
  <c r="L83"/>
  <c r="I3" i="13"/>
  <c r="M12" i="7"/>
  <c r="Q8" i="3"/>
  <c r="Q9" s="1"/>
  <c r="N9"/>
  <c r="Y8"/>
  <c r="Y9" s="1"/>
  <c r="AP25"/>
  <c r="AG27" i="6"/>
  <c r="AH27" s="1"/>
  <c r="F5" i="8" s="1"/>
  <c r="AG53" i="3"/>
  <c r="AG54" s="1"/>
  <c r="N6" i="7"/>
  <c r="F83" i="11"/>
  <c r="F82"/>
  <c r="I26" i="3"/>
  <c r="AQ36" i="1"/>
  <c r="AO44" i="3"/>
  <c r="Y53"/>
  <c r="Y54" s="1"/>
  <c r="AQ57" i="1"/>
  <c r="AI53" i="3"/>
  <c r="AQ88" i="1" l="1"/>
  <c r="J6" i="4" s="1"/>
  <c r="J7" s="1"/>
  <c r="M12" i="8"/>
  <c r="L64" i="10" s="1"/>
  <c r="R81" i="2"/>
  <c r="L81"/>
  <c r="E36" i="10"/>
  <c r="W72" i="2"/>
  <c r="Z71"/>
  <c r="AA72"/>
  <c r="AH71"/>
  <c r="AI72"/>
  <c r="AR71"/>
  <c r="AR72" s="1"/>
  <c r="AH80"/>
  <c r="AH81" s="1"/>
  <c r="I81" i="3"/>
  <c r="J13" i="4"/>
  <c r="J17" s="1"/>
  <c r="K55" i="11"/>
  <c r="Z80" i="2"/>
  <c r="AS80" s="1"/>
  <c r="H22" i="11"/>
  <c r="AR57" i="1"/>
  <c r="AR61"/>
  <c r="AR67"/>
  <c r="H5" i="4"/>
  <c r="E22" i="11"/>
  <c r="AR27" i="1"/>
  <c r="AO81" i="3"/>
  <c r="M8" i="9"/>
  <c r="I9"/>
  <c r="I6" s="1"/>
  <c r="I11"/>
  <c r="I13" s="1"/>
  <c r="H87" i="13" s="1"/>
  <c r="G78" i="10"/>
  <c r="G80" s="1"/>
  <c r="H11" i="9"/>
  <c r="J12" i="13"/>
  <c r="J5" i="11"/>
  <c r="E39" i="10"/>
  <c r="M39"/>
  <c r="M11" s="1"/>
  <c r="K18" i="4"/>
  <c r="I35" i="3"/>
  <c r="I36" s="1"/>
  <c r="AP58" i="1"/>
  <c r="AG89" i="3"/>
  <c r="AG90" s="1"/>
  <c r="L17" i="4"/>
  <c r="Z53" i="2"/>
  <c r="Z54" s="1"/>
  <c r="AH72"/>
  <c r="K17" i="4"/>
  <c r="D12" i="7"/>
  <c r="O12" s="1"/>
  <c r="I36" i="13" s="1"/>
  <c r="L86" i="10"/>
  <c r="N5" i="11"/>
  <c r="L15" i="4"/>
  <c r="C11" i="9"/>
  <c r="Q58" i="1"/>
  <c r="Q59" s="1"/>
  <c r="R72" i="2"/>
  <c r="L72"/>
  <c r="L18" i="4"/>
  <c r="AP79" i="1"/>
  <c r="P7" i="8"/>
  <c r="H78" i="13"/>
  <c r="H80" s="1"/>
  <c r="D9" i="7"/>
  <c r="D6" s="1"/>
  <c r="S69" i="1"/>
  <c r="O7" i="9"/>
  <c r="P7" s="1"/>
  <c r="N59" i="10"/>
  <c r="O12"/>
  <c r="AG71" i="3"/>
  <c r="AP71" s="1"/>
  <c r="J8" i="2"/>
  <c r="J9" s="1"/>
  <c r="C12" i="9"/>
  <c r="AI59" i="1"/>
  <c r="L59"/>
  <c r="AR48"/>
  <c r="B87" i="10"/>
  <c r="M41" i="11"/>
  <c r="O7" i="7"/>
  <c r="I34" i="13" s="1"/>
  <c r="C9" i="9"/>
  <c r="B86" i="13" s="1"/>
  <c r="C39" i="10"/>
  <c r="M13" i="9"/>
  <c r="L87" i="10" s="1"/>
  <c r="I39" i="11"/>
  <c r="H9" i="4"/>
  <c r="I32" i="10"/>
  <c r="I39" s="1"/>
  <c r="AG98" i="3"/>
  <c r="AG99" s="1"/>
  <c r="K13" i="9"/>
  <c r="J87" i="10" s="1"/>
  <c r="M17" i="4"/>
  <c r="C72" i="2"/>
  <c r="D6" i="9"/>
  <c r="S63" i="3"/>
  <c r="G8" i="7"/>
  <c r="M8"/>
  <c r="G78" i="13"/>
  <c r="G80" s="1"/>
  <c r="Y89" i="3"/>
  <c r="Y90" s="1"/>
  <c r="L8" i="7"/>
  <c r="Y58" i="1"/>
  <c r="Y59" s="1"/>
  <c r="AG107" i="3"/>
  <c r="AG108" s="1"/>
  <c r="E12" i="8"/>
  <c r="D64" i="13" s="1"/>
  <c r="F13" i="9"/>
  <c r="E87" i="10" s="1"/>
  <c r="K86"/>
  <c r="AG58" i="1"/>
  <c r="AG59" s="1"/>
  <c r="I58"/>
  <c r="I59" s="1"/>
  <c r="AG68"/>
  <c r="AG69" s="1"/>
  <c r="L6" i="9"/>
  <c r="AH98" i="2"/>
  <c r="AH99" s="1"/>
  <c r="H12" i="8"/>
  <c r="G64" i="13" s="1"/>
  <c r="Z89" i="2"/>
  <c r="Z90" s="1"/>
  <c r="Y80" i="3"/>
  <c r="Y81" s="1"/>
  <c r="H30" i="13"/>
  <c r="H38" s="1"/>
  <c r="Y98" i="3"/>
  <c r="Y99" s="1"/>
  <c r="C38" i="13"/>
  <c r="D5" i="4"/>
  <c r="D17" s="1"/>
  <c r="K5" i="11"/>
  <c r="Y72" i="2"/>
  <c r="D39" i="11"/>
  <c r="I9" i="7"/>
  <c r="I8" s="1"/>
  <c r="AR63" i="1"/>
  <c r="AR65" s="1"/>
  <c r="B63" i="10"/>
  <c r="AG90" i="2"/>
  <c r="AH89"/>
  <c r="AH90" s="1"/>
  <c r="O5" i="9"/>
  <c r="N78" i="10" s="1"/>
  <c r="E8" i="7"/>
  <c r="F86" i="13"/>
  <c r="H30" i="10"/>
  <c r="H38" s="1"/>
  <c r="H78"/>
  <c r="H80" s="1"/>
  <c r="H87" s="1"/>
  <c r="F5" i="4"/>
  <c r="F17" s="1"/>
  <c r="C86" i="10"/>
  <c r="E39" i="11"/>
  <c r="E5" s="1"/>
  <c r="Z98" i="2"/>
  <c r="Z99" s="1"/>
  <c r="K6" i="7"/>
  <c r="J13" i="9"/>
  <c r="I87" i="10" s="1"/>
  <c r="F86"/>
  <c r="L22" i="11"/>
  <c r="L5" s="1"/>
  <c r="C86" i="13"/>
  <c r="K15" i="4"/>
  <c r="W108" i="2"/>
  <c r="Z107"/>
  <c r="Z108" s="1"/>
  <c r="Q72" i="3"/>
  <c r="AS44" i="2"/>
  <c r="R45"/>
  <c r="F39" i="11"/>
  <c r="E9" i="4"/>
  <c r="AP62" i="3"/>
  <c r="AM90" i="2"/>
  <c r="AS89"/>
  <c r="AS90" s="1"/>
  <c r="AS62"/>
  <c r="AS63" s="1"/>
  <c r="I10" i="8"/>
  <c r="O10" s="1"/>
  <c r="H55" i="10"/>
  <c r="B36"/>
  <c r="B39" s="1"/>
  <c r="B38"/>
  <c r="O82" i="11"/>
  <c r="F6" i="7"/>
  <c r="L56" i="11"/>
  <c r="L57" s="1"/>
  <c r="O6" i="8"/>
  <c r="I55" i="13" s="1"/>
  <c r="L12" i="8"/>
  <c r="K64" i="10" s="1"/>
  <c r="Y69" i="1"/>
  <c r="G39" i="11"/>
  <c r="G5" s="1"/>
  <c r="C63" i="10"/>
  <c r="C63" i="13"/>
  <c r="H55"/>
  <c r="H57" s="1"/>
  <c r="W81" i="2"/>
  <c r="AC108"/>
  <c r="AH107"/>
  <c r="AH108" s="1"/>
  <c r="C39" i="13"/>
  <c r="AS47" i="1"/>
  <c r="L7" i="4"/>
  <c r="E86" i="13"/>
  <c r="H39" i="11"/>
  <c r="G9" i="4"/>
  <c r="J86" i="10"/>
  <c r="K6" i="9"/>
  <c r="K8"/>
  <c r="G8"/>
  <c r="M86" i="10"/>
  <c r="M10" s="1"/>
  <c r="N6" i="9"/>
  <c r="E86" i="10"/>
  <c r="F8" i="9"/>
  <c r="N8"/>
  <c r="E13"/>
  <c r="D87" i="13" s="1"/>
  <c r="C87" i="10"/>
  <c r="C87" i="13"/>
  <c r="AP17" i="3"/>
  <c r="C14" i="4" s="1"/>
  <c r="C15" s="1"/>
  <c r="H9" i="9"/>
  <c r="H13"/>
  <c r="H13" i="4"/>
  <c r="I55" i="11"/>
  <c r="E32" i="13"/>
  <c r="E39" s="1"/>
  <c r="I22" i="11"/>
  <c r="F38" i="10"/>
  <c r="AR99" i="1"/>
  <c r="K7" i="4"/>
  <c r="Q69" i="1"/>
  <c r="J69"/>
  <c r="J36" i="10"/>
  <c r="J39" s="1"/>
  <c r="J38"/>
  <c r="C38"/>
  <c r="F38" i="13"/>
  <c r="F36"/>
  <c r="F39" s="1"/>
  <c r="B38"/>
  <c r="B32"/>
  <c r="B39" s="1"/>
  <c r="C6" i="7"/>
  <c r="C8"/>
  <c r="AQ38" i="1"/>
  <c r="E6" i="4" s="1"/>
  <c r="AG39" i="1"/>
  <c r="F39" i="10"/>
  <c r="K38"/>
  <c r="K32"/>
  <c r="K39" s="1"/>
  <c r="G13" i="7"/>
  <c r="H86" i="13"/>
  <c r="H86" i="10"/>
  <c r="I8" i="9"/>
  <c r="I13" i="7"/>
  <c r="B64" i="10"/>
  <c r="B64" i="13"/>
  <c r="F64" i="10"/>
  <c r="F64" i="13"/>
  <c r="AR37" i="1"/>
  <c r="E5" i="4"/>
  <c r="F22" i="11"/>
  <c r="AP19" i="1"/>
  <c r="AQ18"/>
  <c r="R9" i="2"/>
  <c r="C5" i="4"/>
  <c r="C17" s="1"/>
  <c r="D22" i="11"/>
  <c r="G63" i="13"/>
  <c r="G63" i="10"/>
  <c r="G5" i="4"/>
  <c r="D32" i="10"/>
  <c r="D39" s="1"/>
  <c r="D38"/>
  <c r="AQ8" i="3"/>
  <c r="J8" i="7"/>
  <c r="I54" i="3"/>
  <c r="AQ8" i="1"/>
  <c r="I9"/>
  <c r="N24" i="11"/>
  <c r="K27" i="2"/>
  <c r="R26"/>
  <c r="E51" i="13"/>
  <c r="E53" s="1"/>
  <c r="F9" i="8"/>
  <c r="F8"/>
  <c r="E51" i="10"/>
  <c r="E53" s="1"/>
  <c r="O5" i="8"/>
  <c r="B9" i="4"/>
  <c r="C39" i="11"/>
  <c r="AP44" i="3"/>
  <c r="AO45"/>
  <c r="E13" i="7"/>
  <c r="D12" i="8"/>
  <c r="I63" i="3"/>
  <c r="I69" i="1"/>
  <c r="R54" i="2"/>
  <c r="AQ49" i="1"/>
  <c r="AO53" i="3"/>
  <c r="AO54" s="1"/>
  <c r="AI54"/>
  <c r="H56" i="11"/>
  <c r="H53" i="13"/>
  <c r="J6" i="9"/>
  <c r="J8"/>
  <c r="I86" i="10"/>
  <c r="I10" s="1"/>
  <c r="Q36" i="3"/>
  <c r="G13" i="9"/>
  <c r="Q29" i="1"/>
  <c r="AQ28"/>
  <c r="L32" i="10"/>
  <c r="L39" s="1"/>
  <c r="L38"/>
  <c r="I27" i="3"/>
  <c r="AP26"/>
  <c r="J18" i="2"/>
  <c r="AS17"/>
  <c r="C10" i="4" s="1"/>
  <c r="I17"/>
  <c r="D86" i="10"/>
  <c r="D86" i="13"/>
  <c r="E8" i="9"/>
  <c r="F63" i="10"/>
  <c r="F63" i="13"/>
  <c r="AE81" i="2"/>
  <c r="D63" i="13"/>
  <c r="D63" i="10"/>
  <c r="D38" i="13"/>
  <c r="D32"/>
  <c r="D39" s="1"/>
  <c r="B5" i="4"/>
  <c r="AR7" i="1"/>
  <c r="C22" i="11"/>
  <c r="M18" i="4"/>
  <c r="M11"/>
  <c r="N40" i="11"/>
  <c r="N41" s="1"/>
  <c r="L40"/>
  <c r="L41" s="1"/>
  <c r="K11" i="4"/>
  <c r="H5" i="7"/>
  <c r="O11" i="8"/>
  <c r="J12"/>
  <c r="I64" i="10" s="1"/>
  <c r="AR107" i="2"/>
  <c r="AR108" s="1"/>
  <c r="M13" i="7"/>
  <c r="AD81" i="3"/>
  <c r="AG80"/>
  <c r="AG81" s="1"/>
  <c r="E6" i="9"/>
  <c r="AI108" i="3"/>
  <c r="AO107"/>
  <c r="AO108" s="1"/>
  <c r="AS35" i="2"/>
  <c r="R36"/>
  <c r="M6" i="11"/>
  <c r="M7" s="1"/>
  <c r="Z81" i="2" l="1"/>
  <c r="K23" i="11"/>
  <c r="K24" s="1"/>
  <c r="AQ89" i="1"/>
  <c r="AP18" i="3"/>
  <c r="H5" i="11"/>
  <c r="AP80" i="3"/>
  <c r="AS71" i="2"/>
  <c r="N13" i="4"/>
  <c r="L19"/>
  <c r="AP35" i="3"/>
  <c r="E14" i="4" s="1"/>
  <c r="E15" s="1"/>
  <c r="O55" i="11"/>
  <c r="C6" i="9"/>
  <c r="AT8" i="2"/>
  <c r="AT9" s="1"/>
  <c r="C8" i="9"/>
  <c r="B86" i="10"/>
  <c r="K19" i="4"/>
  <c r="L11" i="10"/>
  <c r="D13" i="7"/>
  <c r="C13" i="9"/>
  <c r="B87" i="13" s="1"/>
  <c r="B11" s="1"/>
  <c r="AS53" i="2"/>
  <c r="G10" i="4" s="1"/>
  <c r="L10" i="10"/>
  <c r="K10"/>
  <c r="D8" i="7"/>
  <c r="AG72" i="3"/>
  <c r="O12" i="9"/>
  <c r="N84" i="10" s="1"/>
  <c r="I82" i="13"/>
  <c r="N82" i="10"/>
  <c r="I6" i="4"/>
  <c r="J23" i="11" s="1"/>
  <c r="J24" s="1"/>
  <c r="F5"/>
  <c r="F10" i="13"/>
  <c r="M19" i="4"/>
  <c r="D64" i="10"/>
  <c r="B11"/>
  <c r="B10" i="13"/>
  <c r="H32"/>
  <c r="H39" s="1"/>
  <c r="P6" i="8"/>
  <c r="I6" i="7"/>
  <c r="P7"/>
  <c r="N34" i="10"/>
  <c r="J11"/>
  <c r="L24" i="11"/>
  <c r="J72" i="2"/>
  <c r="AQ39" i="1"/>
  <c r="E87" i="13"/>
  <c r="G64" i="10"/>
  <c r="P5" i="9"/>
  <c r="AQ58" i="1"/>
  <c r="F10" i="10"/>
  <c r="K11"/>
  <c r="E7" i="4"/>
  <c r="Z72" i="2"/>
  <c r="D5" i="11"/>
  <c r="C10" i="13"/>
  <c r="H10" i="4"/>
  <c r="H11" s="1"/>
  <c r="F23" i="11"/>
  <c r="F24" s="1"/>
  <c r="H32" i="10"/>
  <c r="H39" s="1"/>
  <c r="L6" i="11"/>
  <c r="L7" s="1"/>
  <c r="E17" i="4"/>
  <c r="O9" i="9"/>
  <c r="I86" i="13" s="1"/>
  <c r="K86" s="1"/>
  <c r="L86" s="1"/>
  <c r="B10" i="10"/>
  <c r="I11"/>
  <c r="P12" i="7"/>
  <c r="I78" i="13"/>
  <c r="C10" i="10"/>
  <c r="I12" i="8"/>
  <c r="N36" i="10"/>
  <c r="H63" i="13"/>
  <c r="H10" s="1"/>
  <c r="O39" i="11"/>
  <c r="N55" i="10"/>
  <c r="J10"/>
  <c r="AS45" i="2"/>
  <c r="F10" i="4"/>
  <c r="N9"/>
  <c r="G17"/>
  <c r="H57" i="10"/>
  <c r="H64" s="1"/>
  <c r="H63"/>
  <c r="H10" s="1"/>
  <c r="D87"/>
  <c r="O11" i="9"/>
  <c r="G87" i="13"/>
  <c r="G87" i="10"/>
  <c r="I5" i="11"/>
  <c r="H17" i="4"/>
  <c r="G86" i="10"/>
  <c r="G86" i="13"/>
  <c r="H8" i="9"/>
  <c r="H6"/>
  <c r="AQ68" i="1"/>
  <c r="AO59"/>
  <c r="H57" i="11"/>
  <c r="AP63" i="3"/>
  <c r="H14" i="4"/>
  <c r="C64" i="13"/>
  <c r="C11" s="1"/>
  <c r="C64" i="10"/>
  <c r="C11" s="1"/>
  <c r="R27" i="2"/>
  <c r="AS26"/>
  <c r="B17" i="4"/>
  <c r="N5"/>
  <c r="E63" i="10"/>
  <c r="E10" s="1"/>
  <c r="E63" i="13"/>
  <c r="E10" s="1"/>
  <c r="AQ19" i="1"/>
  <c r="C6" i="4"/>
  <c r="AP36" i="3"/>
  <c r="F12" i="8"/>
  <c r="O9"/>
  <c r="N6" i="11"/>
  <c r="N7" s="1"/>
  <c r="AP53" i="3"/>
  <c r="AQ9"/>
  <c r="B14" i="4"/>
  <c r="I61" i="13"/>
  <c r="N61" i="10"/>
  <c r="P11" i="8"/>
  <c r="C5" i="11"/>
  <c r="O22"/>
  <c r="D10" i="13"/>
  <c r="AS18" i="2"/>
  <c r="F87" i="13"/>
  <c r="F11" s="1"/>
  <c r="F87" i="10"/>
  <c r="F11" s="1"/>
  <c r="I57" i="13"/>
  <c r="P10" i="8"/>
  <c r="N57" i="10"/>
  <c r="P5" i="8"/>
  <c r="I51" i="13"/>
  <c r="O8" i="8"/>
  <c r="N51" i="10"/>
  <c r="AP45" i="3"/>
  <c r="F14" i="4"/>
  <c r="F15" s="1"/>
  <c r="E10"/>
  <c r="AS36" i="2"/>
  <c r="G30" i="13"/>
  <c r="G30" i="10"/>
  <c r="H11" i="7"/>
  <c r="H9"/>
  <c r="H6" s="1"/>
  <c r="O5"/>
  <c r="AP27" i="3"/>
  <c r="D14" i="4"/>
  <c r="D15" s="1"/>
  <c r="D6"/>
  <c r="AQ29" i="1"/>
  <c r="F6" i="4"/>
  <c r="AR49" i="1"/>
  <c r="B6" i="4"/>
  <c r="AQ9" i="1"/>
  <c r="C23" i="11"/>
  <c r="AQ11" i="1"/>
  <c r="D10" i="10"/>
  <c r="D11" i="13"/>
  <c r="H6" i="4" l="1"/>
  <c r="AQ69" i="1"/>
  <c r="G6" i="4"/>
  <c r="AQ59" i="1"/>
  <c r="J10" i="4"/>
  <c r="AS81" i="2"/>
  <c r="AP81" i="3"/>
  <c r="J14" i="4"/>
  <c r="B10"/>
  <c r="C40" i="11" s="1"/>
  <c r="C6" s="1"/>
  <c r="AS54" i="2"/>
  <c r="I84" i="13"/>
  <c r="P12" i="9"/>
  <c r="O13"/>
  <c r="P13" s="1"/>
  <c r="I40" i="11"/>
  <c r="I41" s="1"/>
  <c r="D11" i="10"/>
  <c r="I7" i="4"/>
  <c r="AP72" i="3"/>
  <c r="I14" i="4"/>
  <c r="H11" i="10"/>
  <c r="O6" i="9"/>
  <c r="P6" s="1"/>
  <c r="O8"/>
  <c r="P8" s="1"/>
  <c r="P9"/>
  <c r="I10" i="4"/>
  <c r="I11" s="1"/>
  <c r="AS72" i="2"/>
  <c r="N86" i="10"/>
  <c r="P86" s="1"/>
  <c r="Q86" s="1"/>
  <c r="H18" i="4"/>
  <c r="H19" s="1"/>
  <c r="F11"/>
  <c r="G40" i="11"/>
  <c r="G41" s="1"/>
  <c r="H64" i="13"/>
  <c r="H11" s="1"/>
  <c r="O5" i="11"/>
  <c r="N17" i="4"/>
  <c r="N80" i="10"/>
  <c r="P11" i="9"/>
  <c r="I80" i="13"/>
  <c r="I30"/>
  <c r="P5" i="7"/>
  <c r="N30" i="10"/>
  <c r="H7" i="4"/>
  <c r="I23" i="11"/>
  <c r="G23"/>
  <c r="F7" i="4"/>
  <c r="F18"/>
  <c r="F19" s="1"/>
  <c r="D7"/>
  <c r="E23" i="11"/>
  <c r="G32" i="13"/>
  <c r="G39" s="1"/>
  <c r="G11" s="1"/>
  <c r="G38"/>
  <c r="G10" s="1"/>
  <c r="I10" s="1"/>
  <c r="K10" s="1"/>
  <c r="L10" s="1"/>
  <c r="H40" i="11"/>
  <c r="H41" s="1"/>
  <c r="G11" i="4"/>
  <c r="B15"/>
  <c r="I53" i="13"/>
  <c r="O12" i="8"/>
  <c r="P9"/>
  <c r="N53" i="10"/>
  <c r="I63" i="13"/>
  <c r="K63" s="1"/>
  <c r="L63" s="1"/>
  <c r="P8" i="8"/>
  <c r="N63" i="10"/>
  <c r="P63" s="1"/>
  <c r="Q63" s="1"/>
  <c r="E64"/>
  <c r="E11" s="1"/>
  <c r="E64" i="13"/>
  <c r="E11" s="1"/>
  <c r="D10" i="4"/>
  <c r="AS27" i="2"/>
  <c r="I56" i="11"/>
  <c r="H15" i="4"/>
  <c r="AP59" i="1"/>
  <c r="B18" i="4"/>
  <c r="B7"/>
  <c r="H13" i="7"/>
  <c r="O11"/>
  <c r="F40" i="11"/>
  <c r="E11" i="4"/>
  <c r="E18"/>
  <c r="E19" s="1"/>
  <c r="B11"/>
  <c r="D40" i="11"/>
  <c r="D41" s="1"/>
  <c r="C11" i="4"/>
  <c r="AP54" i="3"/>
  <c r="G14" i="4"/>
  <c r="G15" s="1"/>
  <c r="G32" i="10"/>
  <c r="G39" s="1"/>
  <c r="G11" s="1"/>
  <c r="G38"/>
  <c r="G10" s="1"/>
  <c r="N10" s="1"/>
  <c r="P10" s="1"/>
  <c r="Q10" s="1"/>
  <c r="C7" i="4"/>
  <c r="D23" i="11"/>
  <c r="C18" i="4"/>
  <c r="C19" s="1"/>
  <c r="C24" i="11"/>
  <c r="H8" i="7"/>
  <c r="O9"/>
  <c r="O6" s="1"/>
  <c r="P6" s="1"/>
  <c r="K40" i="11" l="1"/>
  <c r="K41" s="1"/>
  <c r="J11" i="4"/>
  <c r="J18"/>
  <c r="J19" s="1"/>
  <c r="J15"/>
  <c r="K56" i="11"/>
  <c r="I87" i="13"/>
  <c r="N87" i="10"/>
  <c r="J56" i="11"/>
  <c r="J57" s="1"/>
  <c r="I15" i="4"/>
  <c r="I18"/>
  <c r="I19" s="1"/>
  <c r="J40" i="11"/>
  <c r="J41" s="1"/>
  <c r="N14" i="4"/>
  <c r="N15" s="1"/>
  <c r="I11" i="13"/>
  <c r="I12" s="1"/>
  <c r="F41" i="11"/>
  <c r="F6"/>
  <c r="F7" s="1"/>
  <c r="E40"/>
  <c r="E41" s="1"/>
  <c r="D11" i="4"/>
  <c r="I24" i="11"/>
  <c r="I6"/>
  <c r="I7" s="1"/>
  <c r="I38" i="13"/>
  <c r="K38" s="1"/>
  <c r="L38" s="1"/>
  <c r="O8" i="7"/>
  <c r="P8" s="1"/>
  <c r="N38" i="10"/>
  <c r="P38" s="1"/>
  <c r="Q38" s="1"/>
  <c r="P9" i="7"/>
  <c r="C7" i="11"/>
  <c r="I32" i="13"/>
  <c r="O13" i="7"/>
  <c r="P11"/>
  <c r="N32" i="10"/>
  <c r="B19" i="4"/>
  <c r="E24" i="11"/>
  <c r="I57"/>
  <c r="N11" i="10"/>
  <c r="D18" i="4"/>
  <c r="D19" s="1"/>
  <c r="G24" i="11"/>
  <c r="G6"/>
  <c r="G7" s="1"/>
  <c r="D24"/>
  <c r="D6"/>
  <c r="D7" s="1"/>
  <c r="N10" i="4"/>
  <c r="N11" s="1"/>
  <c r="N64" i="10"/>
  <c r="I64" i="13"/>
  <c r="P12" i="8"/>
  <c r="C41" i="11"/>
  <c r="O56" l="1"/>
  <c r="O57" s="1"/>
  <c r="K57"/>
  <c r="K6"/>
  <c r="K7" s="1"/>
  <c r="O40"/>
  <c r="O41" s="1"/>
  <c r="J6"/>
  <c r="J7" s="1"/>
  <c r="E6"/>
  <c r="E7" s="1"/>
  <c r="K11" i="13"/>
  <c r="L11" s="1"/>
  <c r="N12" i="10"/>
  <c r="P11"/>
  <c r="Q11" s="1"/>
  <c r="G7" i="4"/>
  <c r="G18"/>
  <c r="G19" s="1"/>
  <c r="H23" i="11"/>
  <c r="N6" i="4"/>
  <c r="N7" s="1"/>
  <c r="I39" i="13"/>
  <c r="P13" i="7"/>
  <c r="N39" i="10"/>
  <c r="H6" i="11" l="1"/>
  <c r="H24"/>
  <c r="O23"/>
  <c r="O24" s="1"/>
  <c r="N18" i="4"/>
  <c r="N19" s="1"/>
  <c r="H7" i="11" l="1"/>
  <c r="O7" s="1"/>
  <c r="O6"/>
</calcChain>
</file>

<file path=xl/comments1.xml><?xml version="1.0" encoding="utf-8"?>
<comments xmlns="http://schemas.openxmlformats.org/spreadsheetml/2006/main">
  <authors>
    <author>Yessica</author>
  </authors>
  <commentList>
    <comment ref="U63" authorId="0">
      <text>
        <r>
          <rPr>
            <b/>
            <sz val="9"/>
            <color indexed="81"/>
            <rFont val="Tahoma"/>
            <family val="2"/>
          </rPr>
          <t>Yessica:</t>
        </r>
        <r>
          <rPr>
            <sz val="9"/>
            <color indexed="81"/>
            <rFont val="Tahoma"/>
            <family val="2"/>
          </rPr>
          <t xml:space="preserve">
Reflejado en P2 /$ CHIPBOARD</t>
        </r>
      </text>
    </comment>
    <comment ref="AK63" authorId="0">
      <text>
        <r>
          <rPr>
            <b/>
            <sz val="9"/>
            <color indexed="81"/>
            <rFont val="Tahoma"/>
            <family val="2"/>
          </rPr>
          <t>Yessica:</t>
        </r>
        <r>
          <rPr>
            <sz val="9"/>
            <color indexed="81"/>
            <rFont val="Tahoma"/>
            <family val="2"/>
          </rPr>
          <t xml:space="preserve">
Reflejado en P2 /$ CHIPBOARD
</t>
        </r>
      </text>
    </comment>
  </commentList>
</comments>
</file>

<file path=xl/comments2.xml><?xml version="1.0" encoding="utf-8"?>
<comments xmlns="http://schemas.openxmlformats.org/spreadsheetml/2006/main">
  <authors>
    <author>SCRAP</author>
    <author>Yessica</author>
  </authors>
  <commentList>
    <comment ref="Q43" authorId="0">
      <text>
        <r>
          <rPr>
            <b/>
            <sz val="9"/>
            <color indexed="81"/>
            <rFont val="Tahoma"/>
            <family val="2"/>
          </rPr>
          <t xml:space="preserve">1990 esquinero planta 1
</t>
        </r>
      </text>
    </comment>
    <comment ref="AE43" authorId="0">
      <text>
        <r>
          <rPr>
            <b/>
            <sz val="9"/>
            <color indexed="81"/>
            <rFont val="Tahoma"/>
            <family val="2"/>
          </rPr>
          <t>Esquinero planta 1</t>
        </r>
      </text>
    </comment>
    <comment ref="N51" authorId="0">
      <text>
        <r>
          <rPr>
            <b/>
            <sz val="9"/>
            <color indexed="81"/>
            <rFont val="Tahoma"/>
            <family val="2"/>
          </rPr>
          <t xml:space="preserve">ESQUINERO 
</t>
        </r>
      </text>
    </comment>
    <comment ref="T51" authorId="0">
      <text>
        <r>
          <rPr>
            <b/>
            <sz val="9"/>
            <color indexed="81"/>
            <rFont val="Tahoma"/>
            <family val="2"/>
          </rPr>
          <t>esquinero</t>
        </r>
      </text>
    </comment>
    <comment ref="AD51" authorId="0">
      <text>
        <r>
          <rPr>
            <b/>
            <sz val="9"/>
            <color indexed="81"/>
            <rFont val="Tahoma"/>
            <family val="2"/>
          </rPr>
          <t xml:space="preserve">esquinero
</t>
        </r>
      </text>
    </comment>
    <comment ref="E59" authorId="1">
      <text>
        <r>
          <rPr>
            <b/>
            <sz val="9"/>
            <color indexed="81"/>
            <rFont val="Tahoma"/>
            <family val="2"/>
          </rPr>
          <t xml:space="preserve">Yessica:
V-BOARD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ESQUINEROS</t>
        </r>
      </text>
    </comment>
    <comment ref="T59" authorId="0">
      <text>
        <r>
          <rPr>
            <b/>
            <sz val="9"/>
            <color indexed="81"/>
            <rFont val="Tahoma"/>
            <family val="2"/>
          </rPr>
          <t xml:space="preserve">ESQUINEROS
</t>
        </r>
      </text>
    </comment>
    <comment ref="Z59" authorId="0">
      <text>
        <r>
          <rPr>
            <b/>
            <sz val="9"/>
            <color indexed="81"/>
            <rFont val="Tahoma"/>
            <family val="2"/>
          </rPr>
          <t>SCRAP:</t>
        </r>
        <r>
          <rPr>
            <sz val="9"/>
            <color indexed="81"/>
            <rFont val="Tahoma"/>
            <family val="2"/>
          </rPr>
          <t xml:space="preserve">
esquineros
</t>
        </r>
      </text>
    </comment>
    <comment ref="J67" authorId="0">
      <text>
        <r>
          <rPr>
            <sz val="9"/>
            <color indexed="81"/>
            <rFont val="Tahoma"/>
            <family val="2"/>
          </rPr>
          <t xml:space="preserve">
esquinero</t>
        </r>
      </text>
    </comment>
    <comment ref="N67" authorId="0">
      <text>
        <r>
          <rPr>
            <b/>
            <sz val="9"/>
            <color indexed="81"/>
            <rFont val="Tahoma"/>
            <charset val="1"/>
          </rPr>
          <t xml:space="preserve">3610 de esquinero
</t>
        </r>
      </text>
    </comment>
  </commentList>
</comments>
</file>

<file path=xl/sharedStrings.xml><?xml version="1.0" encoding="utf-8"?>
<sst xmlns="http://schemas.openxmlformats.org/spreadsheetml/2006/main" count="2489" uniqueCount="183">
  <si>
    <t>Plant 1</t>
  </si>
  <si>
    <t>Month: January</t>
  </si>
  <si>
    <t>D</t>
  </si>
  <si>
    <t>L</t>
  </si>
  <si>
    <t>M</t>
  </si>
  <si>
    <t>J</t>
  </si>
  <si>
    <t>V</t>
  </si>
  <si>
    <t>S</t>
  </si>
  <si>
    <t>Day</t>
  </si>
  <si>
    <t>SUBTOTAL</t>
  </si>
  <si>
    <t>TOTAL</t>
  </si>
  <si>
    <t>Production Kg</t>
  </si>
  <si>
    <t>Production Sheets Kg</t>
  </si>
  <si>
    <t>Scrap Kg</t>
  </si>
  <si>
    <t xml:space="preserve"> </t>
  </si>
  <si>
    <t>% Scrap</t>
  </si>
  <si>
    <t>Unpacked</t>
  </si>
  <si>
    <t>Packed</t>
  </si>
  <si>
    <t>Month: February</t>
  </si>
  <si>
    <t>Month: March</t>
  </si>
  <si>
    <t>Month: April</t>
  </si>
  <si>
    <t>Month: May</t>
  </si>
  <si>
    <t>Month: June</t>
  </si>
  <si>
    <t>Month: July</t>
  </si>
  <si>
    <t>Month: Agosto</t>
  </si>
  <si>
    <t>packed</t>
  </si>
  <si>
    <t>Month: Septiembre</t>
  </si>
  <si>
    <t>Month: Octubre</t>
  </si>
  <si>
    <t>Month: Noviembre</t>
  </si>
  <si>
    <t>Month: Diciembre</t>
  </si>
  <si>
    <t>Plant 2</t>
  </si>
  <si>
    <t>ENERO</t>
  </si>
  <si>
    <t>MIXED</t>
  </si>
  <si>
    <t>WHITE</t>
  </si>
  <si>
    <t>KRAFT</t>
  </si>
  <si>
    <t>TOTAL (Kg)</t>
  </si>
  <si>
    <t>FEBRERO</t>
  </si>
  <si>
    <t>Kg</t>
  </si>
  <si>
    <t>Ton</t>
  </si>
  <si>
    <t>MARZO</t>
  </si>
  <si>
    <t>AL. LITHO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</si>
  <si>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</si>
  <si>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</si>
  <si>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</si>
  <si>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</si>
  <si>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</si>
  <si>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</si>
  <si>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</si>
  <si>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</si>
  <si>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</si>
  <si>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DATE</t>
  </si>
  <si>
    <t>MONTHS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</si>
  <si>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</si>
  <si>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</si>
  <si>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</si>
  <si>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</si>
  <si>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</si>
  <si>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</si>
  <si>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</si>
  <si>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</si>
  <si>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</si>
  <si>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</si>
  <si>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</si>
  <si>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</si>
  <si>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Qty Consume Kg</t>
  </si>
  <si>
    <t>Qty Scrap Kg</t>
  </si>
  <si>
    <t>Grand Total Sinil</t>
  </si>
  <si>
    <t>% Scrap 2021</t>
  </si>
  <si>
    <t>% Scrap 2020</t>
  </si>
  <si>
    <t>% Scrap 2019</t>
  </si>
  <si>
    <t>% Scrap 2018</t>
  </si>
  <si>
    <t>% Scrap 2017</t>
  </si>
  <si>
    <t>% Scrap 2016</t>
  </si>
  <si>
    <t>% Scrap 2015</t>
  </si>
  <si>
    <t>% Scrap 2014</t>
  </si>
  <si>
    <t>% Scrap 2013</t>
  </si>
  <si>
    <t xml:space="preserve">TOTAL </t>
  </si>
  <si>
    <t>plant (1/2/3)</t>
  </si>
  <si>
    <t>AGU</t>
  </si>
  <si>
    <t>DIC</t>
  </si>
  <si>
    <t>OK</t>
  </si>
  <si>
    <t xml:space="preserve">total input </t>
  </si>
  <si>
    <t>scrap qty</t>
  </si>
  <si>
    <t>scrap %</t>
  </si>
  <si>
    <t>PLANT 1</t>
  </si>
  <si>
    <t xml:space="preserve">plant 1 </t>
  </si>
  <si>
    <t xml:space="preserve"> input-1 </t>
  </si>
  <si>
    <t>PLANT 2</t>
  </si>
  <si>
    <t xml:space="preserve">plant 2 </t>
  </si>
  <si>
    <t xml:space="preserve">input-1 </t>
  </si>
  <si>
    <t xml:space="preserve">plant 3 </t>
  </si>
  <si>
    <t>scrap qty 2020</t>
  </si>
  <si>
    <t>scrap qty 2019</t>
  </si>
  <si>
    <t>%</t>
  </si>
  <si>
    <t>CORRUGATOR PLANT</t>
  </si>
  <si>
    <t>MONTHLY</t>
  </si>
  <si>
    <t>Avg/Mo</t>
  </si>
  <si>
    <t>TON</t>
  </si>
  <si>
    <t>PACKED (MT)</t>
  </si>
  <si>
    <t>NON-PACKED (MT)</t>
  </si>
  <si>
    <t>$ AMOUNT</t>
  </si>
  <si>
    <t>PRICE TON</t>
  </si>
  <si>
    <t>PACKED</t>
  </si>
  <si>
    <t>NON-PACKED</t>
  </si>
  <si>
    <t>OFFSET PLANT</t>
  </si>
  <si>
    <t>MIXED (MT)</t>
  </si>
  <si>
    <t>WHITE (MT)</t>
  </si>
  <si>
    <t>KRAFT (MT)</t>
  </si>
  <si>
    <t>$AMOUNT</t>
  </si>
  <si>
    <t>Grand Total</t>
  </si>
  <si>
    <t>period</t>
  </si>
  <si>
    <t>Jan</t>
  </si>
  <si>
    <t>Feb</t>
  </si>
  <si>
    <t>Mar</t>
  </si>
  <si>
    <t>Apr</t>
  </si>
  <si>
    <t>May</t>
  </si>
  <si>
    <t>Jun</t>
  </si>
  <si>
    <t>Jul</t>
  </si>
  <si>
    <t>Agu</t>
  </si>
  <si>
    <t>Sep</t>
  </si>
  <si>
    <t>Oct</t>
  </si>
  <si>
    <t>Nov</t>
  </si>
  <si>
    <t>Dic</t>
  </si>
  <si>
    <t>Difference
(Q'ty)</t>
  </si>
  <si>
    <t>Difference
%</t>
  </si>
  <si>
    <t>Q'ty (mton)</t>
  </si>
  <si>
    <t>amount</t>
  </si>
  <si>
    <t>modificar</t>
  </si>
  <si>
    <t>plant 1</t>
  </si>
  <si>
    <t>diff.
(qty)</t>
  </si>
  <si>
    <t>2018 
(Jan-Sep)</t>
  </si>
  <si>
    <t>price</t>
  </si>
  <si>
    <t>unpacked</t>
  </si>
  <si>
    <t>plant 1  qty</t>
  </si>
  <si>
    <t>total amount</t>
  </si>
  <si>
    <t>ok</t>
  </si>
  <si>
    <t>formula</t>
  </si>
  <si>
    <t>plant 2</t>
  </si>
  <si>
    <t>2018
(Jan-Sep)</t>
  </si>
  <si>
    <t>mixed</t>
  </si>
  <si>
    <t>white</t>
  </si>
  <si>
    <t>craft</t>
  </si>
  <si>
    <t>plant 2  qty</t>
  </si>
  <si>
    <t>Aug</t>
  </si>
  <si>
    <t>2018           (Jan-Sep)</t>
  </si>
  <si>
    <t>papel blanco</t>
  </si>
  <si>
    <t>mixto</t>
  </si>
  <si>
    <t>carton</t>
  </si>
  <si>
    <t>Building (1 + 2 + 4)</t>
  </si>
  <si>
    <t>plant 4</t>
  </si>
  <si>
    <t>plant 4 total qty</t>
  </si>
  <si>
    <t>scrap qty 2021</t>
  </si>
  <si>
    <r>
      <t xml:space="preserve">diff. </t>
    </r>
    <r>
      <rPr>
        <b/>
        <sz val="11"/>
        <color theme="1"/>
        <rFont val="Calibri"/>
        <family val="2"/>
        <scheme val="minor"/>
      </rPr>
      <t>2019/2020</t>
    </r>
  </si>
  <si>
    <r>
      <t xml:space="preserve">diff. </t>
    </r>
    <r>
      <rPr>
        <b/>
        <sz val="11"/>
        <color theme="1"/>
        <rFont val="Calibri"/>
        <family val="2"/>
        <scheme val="minor"/>
      </rPr>
      <t>2020/2021</t>
    </r>
  </si>
  <si>
    <t>Scrap quantity comparation 2019/2020/2021</t>
  </si>
  <si>
    <t>plant (1/2/4)</t>
  </si>
  <si>
    <t>Total             2021</t>
  </si>
  <si>
    <t>2020
(Jan-dec)</t>
  </si>
  <si>
    <t>Total                        2021</t>
  </si>
  <si>
    <t>planta 3</t>
  </si>
  <si>
    <t>Planta 3</t>
  </si>
  <si>
    <t>2020
(Jan-Jul)</t>
  </si>
  <si>
    <t>Total                        2021  (Jan-Jul)</t>
  </si>
  <si>
    <t>Total                        2021 (Jan-Jul)</t>
  </si>
  <si>
    <t>Total             2021 (Jan-Jul)</t>
  </si>
  <si>
    <t>Scrap amount quantity generated for 2021(Jan - Jul)</t>
  </si>
  <si>
    <t xml:space="preserve">Jul </t>
  </si>
  <si>
    <t>Daily Scrap Report 2022</t>
  </si>
  <si>
    <t>Plant 3</t>
  </si>
  <si>
    <t>% Scrap 2022</t>
  </si>
  <si>
    <t>SCRAP QUANTITY 2022(JAN-DEC)</t>
  </si>
  <si>
    <t>Esquinero</t>
  </si>
  <si>
    <t>PACAS</t>
  </si>
  <si>
    <t>SUELTO</t>
  </si>
  <si>
    <t>CHIPBOARD(ESQUINERO )</t>
  </si>
  <si>
    <t>SCRAP CARTON REPORT 2022</t>
  </si>
  <si>
    <t>l</t>
  </si>
  <si>
    <t>Scrap amount quantity generated for 2022(Jan - Dic)</t>
  </si>
  <si>
    <t>Production V-Board Kg</t>
  </si>
  <si>
    <t>Building (1 + 2 + 3)</t>
  </si>
  <si>
    <t>plant 3</t>
  </si>
  <si>
    <t>plant 3 total qty</t>
  </si>
  <si>
    <t>v</t>
  </si>
</sst>
</file>

<file path=xl/styles.xml><?xml version="1.0" encoding="utf-8"?>
<styleSheet xmlns="http://schemas.openxmlformats.org/spreadsheetml/2006/main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_-* #,##0_-;\-* #,##0_-;_-* &quot;-&quot;??_-;_-@_-"/>
    <numFmt numFmtId="168" formatCode="_(* #,##0.0_);_(* \(#,##0.0\);_(* &quot;-&quot;??_);_(@_)"/>
    <numFmt numFmtId="169" formatCode="_(* #,##0_);_(* \(#,##0\);_(* &quot;-&quot;??_);_(@_)"/>
    <numFmt numFmtId="170" formatCode="0.0"/>
    <numFmt numFmtId="171" formatCode="[$-409]d/mmm;@"/>
    <numFmt numFmtId="172" formatCode="_-* #,##0.0_-;\-* #,##0.0_-;_-* &quot;-&quot;??_-;_-@_-"/>
  </numFmts>
  <fonts count="4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 Unicode MS"/>
      <family val="2"/>
    </font>
    <font>
      <sz val="11"/>
      <color theme="0"/>
      <name val="Arial Unicode MS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i/>
      <sz val="11"/>
      <name val="Calibri"/>
      <family val="2"/>
      <scheme val="minor"/>
    </font>
    <font>
      <sz val="11"/>
      <name val="Arial Narrow"/>
      <family val="2"/>
    </font>
    <font>
      <b/>
      <i/>
      <sz val="11"/>
      <name val="Arial Narrow"/>
      <family val="2"/>
    </font>
    <font>
      <sz val="11"/>
      <color theme="1"/>
      <name val="Arial Narrow"/>
      <family val="2"/>
    </font>
    <font>
      <sz val="11"/>
      <color rgb="FF0070C0"/>
      <name val="Arial Narrow"/>
      <family val="2"/>
    </font>
    <font>
      <sz val="11"/>
      <color theme="0"/>
      <name val="Arial Narrow"/>
      <family val="2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</fonts>
  <fills count="31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7"/>
        <bgColor theme="7"/>
      </patternFill>
    </fill>
    <fill>
      <patternFill patternType="solid">
        <fgColor theme="9"/>
        <bgColor theme="9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44999542222357858"/>
        <bgColor theme="1" tint="0.44999542222357858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/>
        <bgColor theme="8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F3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3408001953185"/>
        <bgColor indexed="64"/>
      </patternFill>
    </fill>
    <fill>
      <patternFill patternType="solid">
        <fgColor theme="9" tint="0.39893795587023528"/>
        <bgColor indexed="64"/>
      </patternFill>
    </fill>
    <fill>
      <patternFill patternType="solid">
        <fgColor theme="4" tint="0.39893795587023528"/>
        <bgColor indexed="64"/>
      </patternFill>
    </fill>
    <fill>
      <patternFill patternType="solid">
        <fgColor theme="8" tint="0.3989379558702352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89379558702352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44" fontId="12" fillId="0" borderId="0" applyFont="0" applyFill="0" applyBorder="0" applyAlignment="0" applyProtection="0"/>
    <xf numFmtId="0" fontId="21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165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0" fontId="12" fillId="0" borderId="0"/>
    <xf numFmtId="0" fontId="3" fillId="0" borderId="0"/>
  </cellStyleXfs>
  <cellXfs count="355">
    <xf numFmtId="0" fontId="0" fillId="0" borderId="0" xfId="0"/>
    <xf numFmtId="0" fontId="8" fillId="2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9" fillId="7" borderId="0" xfId="0" applyFont="1" applyFill="1" applyAlignment="1">
      <alignment horizontal="left"/>
    </xf>
    <xf numFmtId="0" fontId="8" fillId="8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8" fillId="10" borderId="0" xfId="0" applyFont="1" applyFill="1" applyAlignment="1">
      <alignment horizontal="left"/>
    </xf>
    <xf numFmtId="0" fontId="10" fillId="0" borderId="0" xfId="0" applyFont="1"/>
    <xf numFmtId="8" fontId="0" fillId="0" borderId="0" xfId="0" applyNumberFormat="1"/>
    <xf numFmtId="2" fontId="11" fillId="0" borderId="0" xfId="11" applyNumberFormat="1" applyFont="1" applyAlignment="1">
      <alignment horizontal="left"/>
    </xf>
    <xf numFmtId="2" fontId="12" fillId="0" borderId="0" xfId="11" applyNumberFormat="1" applyAlignment="1">
      <alignment horizontal="centerContinuous"/>
    </xf>
    <xf numFmtId="0" fontId="13" fillId="0" borderId="0" xfId="11" applyFont="1" applyAlignment="1">
      <alignment horizontal="center"/>
    </xf>
    <xf numFmtId="2" fontId="0" fillId="0" borderId="0" xfId="11" applyNumberFormat="1" applyFont="1" applyAlignment="1">
      <alignment horizontal="left" vertical="center"/>
    </xf>
    <xf numFmtId="0" fontId="14" fillId="11" borderId="1" xfId="11" applyFont="1" applyFill="1" applyBorder="1" applyAlignment="1">
      <alignment horizontal="center" vertical="center"/>
    </xf>
    <xf numFmtId="0" fontId="14" fillId="0" borderId="1" xfId="11" applyFont="1" applyBorder="1" applyAlignment="1">
      <alignment horizontal="center"/>
    </xf>
    <xf numFmtId="43" fontId="10" fillId="0" borderId="1" xfId="3" applyFont="1" applyBorder="1"/>
    <xf numFmtId="44" fontId="10" fillId="0" borderId="1" xfId="1" applyFont="1" applyBorder="1"/>
    <xf numFmtId="0" fontId="12" fillId="0" borderId="0" xfId="11"/>
    <xf numFmtId="4" fontId="12" fillId="0" borderId="0" xfId="11" applyNumberFormat="1"/>
    <xf numFmtId="3" fontId="12" fillId="0" borderId="0" xfId="11" applyNumberFormat="1"/>
    <xf numFmtId="3" fontId="15" fillId="0" borderId="1" xfId="11" applyNumberFormat="1" applyFont="1" applyBorder="1" applyAlignment="1">
      <alignment horizontal="center" vertical="center"/>
    </xf>
    <xf numFmtId="0" fontId="15" fillId="0" borderId="1" xfId="11" applyFont="1" applyBorder="1" applyAlignment="1">
      <alignment horizontal="center"/>
    </xf>
    <xf numFmtId="4" fontId="12" fillId="0" borderId="1" xfId="11" applyNumberFormat="1" applyBorder="1"/>
    <xf numFmtId="8" fontId="12" fillId="0" borderId="1" xfId="11" applyNumberFormat="1" applyBorder="1"/>
    <xf numFmtId="3" fontId="15" fillId="0" borderId="1" xfId="11" applyNumberFormat="1" applyFont="1" applyBorder="1"/>
    <xf numFmtId="8" fontId="15" fillId="0" borderId="1" xfId="11" applyNumberFormat="1" applyFont="1" applyBorder="1" applyAlignment="1">
      <alignment horizontal="center"/>
    </xf>
    <xf numFmtId="0" fontId="14" fillId="11" borderId="1" xfId="11" applyFont="1" applyFill="1" applyBorder="1" applyAlignment="1">
      <alignment horizontal="center" vertical="center" wrapText="1"/>
    </xf>
    <xf numFmtId="167" fontId="10" fillId="0" borderId="1" xfId="8" applyNumberFormat="1" applyFont="1" applyBorder="1"/>
    <xf numFmtId="8" fontId="10" fillId="0" borderId="1" xfId="8" applyNumberFormat="1" applyFont="1" applyBorder="1"/>
    <xf numFmtId="8" fontId="10" fillId="0" borderId="0" xfId="0" applyNumberFormat="1" applyFont="1"/>
    <xf numFmtId="3" fontId="0" fillId="0" borderId="0" xfId="0" applyNumberFormat="1"/>
    <xf numFmtId="0" fontId="0" fillId="0" borderId="0" xfId="11" applyFont="1"/>
    <xf numFmtId="3" fontId="15" fillId="12" borderId="1" xfId="11" applyNumberFormat="1" applyFont="1" applyFill="1" applyBorder="1" applyAlignment="1">
      <alignment horizontal="center" vertical="center"/>
    </xf>
    <xf numFmtId="3" fontId="16" fillId="12" borderId="1" xfId="11" applyNumberFormat="1" applyFont="1" applyFill="1" applyBorder="1" applyAlignment="1">
      <alignment horizontal="center" vertical="center"/>
    </xf>
    <xf numFmtId="4" fontId="0" fillId="0" borderId="1" xfId="8" applyNumberFormat="1" applyFont="1" applyBorder="1"/>
    <xf numFmtId="8" fontId="0" fillId="0" borderId="1" xfId="8" applyNumberFormat="1" applyFont="1" applyBorder="1"/>
    <xf numFmtId="3" fontId="15" fillId="12" borderId="1" xfId="11" applyNumberFormat="1" applyFont="1" applyFill="1" applyBorder="1"/>
    <xf numFmtId="0" fontId="12" fillId="0" borderId="1" xfId="11" applyBorder="1"/>
    <xf numFmtId="169" fontId="10" fillId="0" borderId="1" xfId="8" applyNumberFormat="1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" fontId="0" fillId="0" borderId="1" xfId="8" applyNumberFormat="1" applyFont="1" applyBorder="1"/>
    <xf numFmtId="165" fontId="17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11" applyFont="1" applyAlignment="1">
      <alignment horizontal="center" wrapText="1"/>
    </xf>
    <xf numFmtId="8" fontId="17" fillId="0" borderId="0" xfId="0" applyNumberFormat="1" applyFont="1" applyAlignment="1">
      <alignment horizontal="center"/>
    </xf>
    <xf numFmtId="0" fontId="20" fillId="13" borderId="4" xfId="9" applyFont="1" applyFill="1" applyBorder="1" applyAlignment="1">
      <alignment horizontal="center" vertical="center"/>
    </xf>
    <xf numFmtId="0" fontId="20" fillId="13" borderId="5" xfId="9" applyFont="1" applyFill="1" applyBorder="1" applyAlignment="1">
      <alignment horizontal="center" vertical="center"/>
    </xf>
    <xf numFmtId="0" fontId="21" fillId="12" borderId="7" xfId="9" applyFill="1" applyBorder="1" applyAlignment="1">
      <alignment horizontal="center" vertical="center"/>
    </xf>
    <xf numFmtId="4" fontId="21" fillId="12" borderId="8" xfId="9" applyNumberFormat="1" applyFill="1" applyBorder="1" applyAlignment="1">
      <alignment horizontal="center" vertical="center"/>
    </xf>
    <xf numFmtId="0" fontId="21" fillId="12" borderId="10" xfId="9" applyFill="1" applyBorder="1" applyAlignment="1">
      <alignment horizontal="center" vertical="center"/>
    </xf>
    <xf numFmtId="9" fontId="21" fillId="12" borderId="1" xfId="9" applyNumberFormat="1" applyFill="1" applyBorder="1" applyAlignment="1">
      <alignment horizontal="center" vertical="center"/>
    </xf>
    <xf numFmtId="4" fontId="21" fillId="12" borderId="1" xfId="9" applyNumberFormat="1" applyFill="1" applyBorder="1" applyAlignment="1">
      <alignment horizontal="center" vertical="center"/>
    </xf>
    <xf numFmtId="0" fontId="21" fillId="0" borderId="10" xfId="9" applyBorder="1" applyAlignment="1">
      <alignment horizontal="center" vertical="center"/>
    </xf>
    <xf numFmtId="9" fontId="21" fillId="0" borderId="1" xfId="9" applyNumberFormat="1" applyBorder="1" applyAlignment="1">
      <alignment horizontal="center" vertical="center"/>
    </xf>
    <xf numFmtId="0" fontId="20" fillId="14" borderId="10" xfId="9" applyFont="1" applyFill="1" applyBorder="1" applyAlignment="1">
      <alignment horizontal="center" vertical="center"/>
    </xf>
    <xf numFmtId="3" fontId="20" fillId="14" borderId="1" xfId="9" applyNumberFormat="1" applyFont="1" applyFill="1" applyBorder="1" applyAlignment="1">
      <alignment horizontal="center" vertical="center"/>
    </xf>
    <xf numFmtId="164" fontId="22" fillId="0" borderId="8" xfId="10" applyFont="1" applyBorder="1" applyAlignment="1">
      <alignment horizontal="center" vertical="center"/>
    </xf>
    <xf numFmtId="164" fontId="22" fillId="0" borderId="1" xfId="10" applyFont="1" applyBorder="1" applyAlignment="1">
      <alignment horizontal="center" vertical="center"/>
    </xf>
    <xf numFmtId="0" fontId="20" fillId="14" borderId="13" xfId="9" applyFont="1" applyFill="1" applyBorder="1" applyAlignment="1">
      <alignment horizontal="center" vertical="center"/>
    </xf>
    <xf numFmtId="164" fontId="23" fillId="14" borderId="14" xfId="10" applyFont="1" applyFill="1" applyBorder="1" applyAlignment="1">
      <alignment horizontal="center" vertical="center"/>
    </xf>
    <xf numFmtId="0" fontId="20" fillId="13" borderId="15" xfId="9" applyFont="1" applyFill="1" applyBorder="1" applyAlignment="1">
      <alignment horizontal="center" vertical="center"/>
    </xf>
    <xf numFmtId="0" fontId="20" fillId="0" borderId="15" xfId="9" applyFont="1" applyBorder="1" applyAlignment="1">
      <alignment horizontal="center" vertical="center"/>
    </xf>
    <xf numFmtId="0" fontId="21" fillId="0" borderId="5" xfId="9" applyBorder="1" applyAlignment="1">
      <alignment horizontal="center" vertical="center"/>
    </xf>
    <xf numFmtId="164" fontId="21" fillId="0" borderId="16" xfId="10" applyBorder="1" applyAlignment="1">
      <alignment horizontal="center" vertical="center"/>
    </xf>
    <xf numFmtId="164" fontId="21" fillId="12" borderId="16" xfId="10" applyFill="1" applyBorder="1" applyAlignment="1">
      <alignment horizontal="center" vertical="center"/>
    </xf>
    <xf numFmtId="0" fontId="20" fillId="0" borderId="0" xfId="9" applyFont="1" applyAlignment="1">
      <alignment horizontal="center" vertical="center"/>
    </xf>
    <xf numFmtId="0" fontId="21" fillId="0" borderId="0" xfId="9" applyAlignment="1">
      <alignment horizontal="center" vertical="center"/>
    </xf>
    <xf numFmtId="164" fontId="21" fillId="0" borderId="0" xfId="10" applyAlignment="1">
      <alignment horizontal="center" vertical="center"/>
    </xf>
    <xf numFmtId="0" fontId="20" fillId="13" borderId="17" xfId="9" applyFont="1" applyFill="1" applyBorder="1" applyAlignment="1">
      <alignment horizontal="center" vertical="center"/>
    </xf>
    <xf numFmtId="3" fontId="21" fillId="0" borderId="0" xfId="9" applyNumberFormat="1" applyAlignment="1">
      <alignment horizontal="center" vertical="center"/>
    </xf>
    <xf numFmtId="4" fontId="21" fillId="0" borderId="8" xfId="9" applyNumberFormat="1" applyBorder="1" applyAlignment="1">
      <alignment horizontal="center" vertical="center"/>
    </xf>
    <xf numFmtId="3" fontId="21" fillId="12" borderId="18" xfId="9" applyNumberFormat="1" applyFill="1" applyBorder="1" applyAlignment="1">
      <alignment horizontal="center" vertical="center"/>
    </xf>
    <xf numFmtId="9" fontId="21" fillId="12" borderId="19" xfId="9" applyNumberFormat="1" applyFill="1" applyBorder="1" applyAlignment="1">
      <alignment horizontal="center" vertical="center"/>
    </xf>
    <xf numFmtId="3" fontId="21" fillId="12" borderId="19" xfId="9" applyNumberFormat="1" applyFill="1" applyBorder="1" applyAlignment="1">
      <alignment horizontal="center" vertical="center"/>
    </xf>
    <xf numFmtId="9" fontId="21" fillId="0" borderId="19" xfId="9" applyNumberFormat="1" applyBorder="1" applyAlignment="1">
      <alignment horizontal="center" vertical="center"/>
    </xf>
    <xf numFmtId="164" fontId="22" fillId="0" borderId="18" xfId="10" applyFont="1" applyBorder="1" applyAlignment="1">
      <alignment horizontal="center" vertical="center"/>
    </xf>
    <xf numFmtId="164" fontId="22" fillId="0" borderId="19" xfId="10" applyFont="1" applyBorder="1" applyAlignment="1">
      <alignment horizontal="center" vertical="center"/>
    </xf>
    <xf numFmtId="164" fontId="21" fillId="0" borderId="20" xfId="10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13" borderId="22" xfId="2" applyFont="1" applyFill="1" applyBorder="1" applyAlignment="1">
      <alignment horizontal="center" vertical="center"/>
    </xf>
    <xf numFmtId="0" fontId="20" fillId="12" borderId="24" xfId="2" applyFont="1" applyFill="1" applyBorder="1" applyAlignment="1">
      <alignment horizontal="center" vertical="center"/>
    </xf>
    <xf numFmtId="2" fontId="21" fillId="12" borderId="8" xfId="2" applyNumberFormat="1" applyFill="1" applyBorder="1" applyAlignment="1">
      <alignment horizontal="center" vertical="center"/>
    </xf>
    <xf numFmtId="0" fontId="20" fillId="12" borderId="26" xfId="2" applyFont="1" applyFill="1" applyBorder="1" applyAlignment="1">
      <alignment horizontal="center" vertical="center"/>
    </xf>
    <xf numFmtId="2" fontId="21" fillId="12" borderId="1" xfId="2" applyNumberFormat="1" applyFill="1" applyBorder="1" applyAlignment="1">
      <alignment horizontal="center" vertical="center"/>
    </xf>
    <xf numFmtId="0" fontId="20" fillId="12" borderId="27" xfId="2" applyFont="1" applyFill="1" applyBorder="1" applyAlignment="1">
      <alignment horizontal="center" vertical="center"/>
    </xf>
    <xf numFmtId="2" fontId="21" fillId="12" borderId="28" xfId="2" applyNumberFormat="1" applyFill="1" applyBorder="1" applyAlignment="1">
      <alignment horizontal="center" vertical="center"/>
    </xf>
    <xf numFmtId="0" fontId="20" fillId="14" borderId="30" xfId="2" applyFont="1" applyFill="1" applyBorder="1" applyAlignment="1">
      <alignment horizontal="center" vertical="center"/>
    </xf>
    <xf numFmtId="4" fontId="23" fillId="14" borderId="22" xfId="7" applyNumberFormat="1" applyFont="1" applyFill="1" applyBorder="1" applyAlignment="1">
      <alignment horizontal="center" vertical="center"/>
    </xf>
    <xf numFmtId="164" fontId="22" fillId="0" borderId="28" xfId="10" applyFont="1" applyBorder="1" applyAlignment="1">
      <alignment horizontal="center" vertical="center"/>
    </xf>
    <xf numFmtId="0" fontId="20" fillId="14" borderId="15" xfId="2" applyFont="1" applyFill="1" applyBorder="1" applyAlignment="1">
      <alignment horizontal="center" vertical="center"/>
    </xf>
    <xf numFmtId="164" fontId="23" fillId="14" borderId="5" xfId="10" applyFont="1" applyFill="1" applyBorder="1" applyAlignment="1">
      <alignment horizontal="center" vertical="center"/>
    </xf>
    <xf numFmtId="0" fontId="20" fillId="13" borderId="15" xfId="2" applyFont="1" applyFill="1" applyBorder="1" applyAlignment="1">
      <alignment horizontal="center" vertical="center"/>
    </xf>
    <xf numFmtId="0" fontId="20" fillId="13" borderId="5" xfId="2" applyFont="1" applyFill="1" applyBorder="1" applyAlignment="1">
      <alignment horizontal="center" vertical="center"/>
    </xf>
    <xf numFmtId="0" fontId="21" fillId="0" borderId="8" xfId="9" applyBorder="1" applyAlignment="1">
      <alignment horizontal="center" vertical="center"/>
    </xf>
    <xf numFmtId="164" fontId="21" fillId="0" borderId="31" xfId="10" applyFont="1" applyBorder="1" applyAlignment="1">
      <alignment horizontal="center" vertical="center"/>
    </xf>
    <xf numFmtId="164" fontId="21" fillId="12" borderId="31" xfId="10" applyFont="1" applyFill="1" applyBorder="1" applyAlignment="1">
      <alignment horizontal="center" vertical="center"/>
    </xf>
    <xf numFmtId="164" fontId="21" fillId="0" borderId="31" xfId="10" applyBorder="1" applyAlignment="1">
      <alignment horizontal="center" vertical="center"/>
    </xf>
    <xf numFmtId="0" fontId="21" fillId="0" borderId="1" xfId="2" applyBorder="1" applyAlignment="1">
      <alignment horizontal="center" vertical="center"/>
    </xf>
    <xf numFmtId="164" fontId="24" fillId="0" borderId="1" xfId="10" applyFont="1" applyBorder="1" applyAlignment="1">
      <alignment horizontal="center" vertical="center"/>
    </xf>
    <xf numFmtId="164" fontId="24" fillId="12" borderId="1" xfId="10" applyFont="1" applyFill="1" applyBorder="1" applyAlignment="1">
      <alignment horizontal="center" vertical="center"/>
    </xf>
    <xf numFmtId="164" fontId="0" fillId="0" borderId="1" xfId="10" applyFont="1" applyBorder="1" applyAlignment="1">
      <alignment horizontal="center" vertical="center"/>
    </xf>
    <xf numFmtId="0" fontId="21" fillId="0" borderId="14" xfId="2" applyBorder="1" applyAlignment="1">
      <alignment horizontal="center" vertical="center"/>
    </xf>
    <xf numFmtId="164" fontId="21" fillId="0" borderId="16" xfId="10" applyFont="1" applyBorder="1" applyAlignment="1">
      <alignment horizontal="center" vertical="center"/>
    </xf>
    <xf numFmtId="164" fontId="21" fillId="12" borderId="14" xfId="10" applyFont="1" applyFill="1" applyBorder="1" applyAlignment="1">
      <alignment horizontal="center" vertical="center"/>
    </xf>
    <xf numFmtId="164" fontId="21" fillId="0" borderId="14" xfId="10" applyBorder="1" applyAlignment="1">
      <alignment horizontal="center" vertical="center"/>
    </xf>
    <xf numFmtId="0" fontId="20" fillId="13" borderId="33" xfId="2" applyFont="1" applyFill="1" applyBorder="1" applyAlignment="1">
      <alignment horizontal="center" vertical="center"/>
    </xf>
    <xf numFmtId="3" fontId="21" fillId="0" borderId="0" xfId="2" applyNumberFormat="1" applyAlignment="1">
      <alignment horizontal="center" vertical="center"/>
    </xf>
    <xf numFmtId="2" fontId="21" fillId="12" borderId="18" xfId="2" applyNumberFormat="1" applyFill="1" applyBorder="1" applyAlignment="1">
      <alignment horizontal="center" vertical="center"/>
    </xf>
    <xf numFmtId="2" fontId="21" fillId="12" borderId="19" xfId="2" applyNumberFormat="1" applyFill="1" applyBorder="1" applyAlignment="1">
      <alignment horizontal="center" vertical="center"/>
    </xf>
    <xf numFmtId="2" fontId="21" fillId="12" borderId="34" xfId="2" applyNumberFormat="1" applyFill="1" applyBorder="1" applyAlignment="1">
      <alignment horizontal="center" vertical="center"/>
    </xf>
    <xf numFmtId="164" fontId="22" fillId="0" borderId="34" xfId="10" applyFont="1" applyBorder="1" applyAlignment="1">
      <alignment horizontal="center" vertical="center"/>
    </xf>
    <xf numFmtId="0" fontId="20" fillId="13" borderId="17" xfId="2" applyFont="1" applyFill="1" applyBorder="1" applyAlignment="1">
      <alignment horizontal="center" vertical="center"/>
    </xf>
    <xf numFmtId="0" fontId="21" fillId="0" borderId="7" xfId="9" applyBorder="1" applyAlignment="1">
      <alignment horizontal="center" vertical="center"/>
    </xf>
    <xf numFmtId="3" fontId="20" fillId="14" borderId="19" xfId="9" applyNumberFormat="1" applyFont="1" applyFill="1" applyBorder="1" applyAlignment="1">
      <alignment horizontal="center" vertical="center"/>
    </xf>
    <xf numFmtId="164" fontId="23" fillId="14" borderId="35" xfId="10" applyFont="1" applyFill="1" applyBorder="1" applyAlignment="1">
      <alignment horizontal="center" vertical="center"/>
    </xf>
    <xf numFmtId="1" fontId="0" fillId="0" borderId="0" xfId="0" applyNumberFormat="1"/>
    <xf numFmtId="170" fontId="12" fillId="0" borderId="1" xfId="11" applyNumberFormat="1" applyBorder="1"/>
    <xf numFmtId="170" fontId="12" fillId="0" borderId="0" xfId="11" applyNumberFormat="1"/>
    <xf numFmtId="0" fontId="0" fillId="0" borderId="1" xfId="11" applyFont="1" applyBorder="1"/>
    <xf numFmtId="0" fontId="0" fillId="12" borderId="1" xfId="11" applyFont="1" applyFill="1" applyBorder="1"/>
    <xf numFmtId="0" fontId="0" fillId="15" borderId="0" xfId="0" applyFill="1"/>
    <xf numFmtId="4" fontId="12" fillId="12" borderId="1" xfId="11" applyNumberFormat="1" applyFill="1" applyBorder="1"/>
    <xf numFmtId="1" fontId="0" fillId="0" borderId="1" xfId="11" applyNumberFormat="1" applyFont="1" applyBorder="1"/>
    <xf numFmtId="1" fontId="12" fillId="0" borderId="1" xfId="11" applyNumberFormat="1" applyBorder="1"/>
    <xf numFmtId="0" fontId="27" fillId="0" borderId="0" xfId="0" applyFont="1"/>
    <xf numFmtId="0" fontId="15" fillId="16" borderId="36" xfId="0" applyFont="1" applyFill="1" applyBorder="1"/>
    <xf numFmtId="0" fontId="15" fillId="0" borderId="3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38" xfId="0" applyBorder="1"/>
    <xf numFmtId="169" fontId="0" fillId="0" borderId="10" xfId="3" applyNumberFormat="1" applyFont="1" applyBorder="1"/>
    <xf numFmtId="169" fontId="0" fillId="0" borderId="1" xfId="3" applyNumberFormat="1" applyFont="1" applyBorder="1"/>
    <xf numFmtId="0" fontId="0" fillId="0" borderId="39" xfId="0" applyBorder="1"/>
    <xf numFmtId="169" fontId="0" fillId="0" borderId="40" xfId="3" applyNumberFormat="1" applyFont="1" applyBorder="1"/>
    <xf numFmtId="169" fontId="0" fillId="0" borderId="28" xfId="3" applyNumberFormat="1" applyFont="1" applyBorder="1"/>
    <xf numFmtId="0" fontId="15" fillId="17" borderId="36" xfId="0" applyFont="1" applyFill="1" applyBorder="1"/>
    <xf numFmtId="166" fontId="15" fillId="17" borderId="4" xfId="4" applyNumberFormat="1" applyFont="1" applyFill="1" applyBorder="1"/>
    <xf numFmtId="166" fontId="15" fillId="17" borderId="5" xfId="4" applyNumberFormat="1" applyFont="1" applyFill="1" applyBorder="1"/>
    <xf numFmtId="0" fontId="0" fillId="0" borderId="37" xfId="0" applyBorder="1"/>
    <xf numFmtId="169" fontId="0" fillId="0" borderId="7" xfId="3" applyNumberFormat="1" applyFont="1" applyBorder="1"/>
    <xf numFmtId="0" fontId="27" fillId="17" borderId="36" xfId="0" applyFont="1" applyFill="1" applyBorder="1" applyAlignment="1">
      <alignment horizontal="center" vertical="top"/>
    </xf>
    <xf numFmtId="166" fontId="27" fillId="17" borderId="4" xfId="4" applyNumberFormat="1" applyFont="1" applyFill="1" applyBorder="1" applyAlignment="1">
      <alignment horizontal="center" vertical="top"/>
    </xf>
    <xf numFmtId="0" fontId="27" fillId="18" borderId="36" xfId="0" applyFont="1" applyFill="1" applyBorder="1" applyAlignment="1">
      <alignment horizontal="center" vertical="top"/>
    </xf>
    <xf numFmtId="166" fontId="27" fillId="18" borderId="4" xfId="4" applyNumberFormat="1" applyFont="1" applyFill="1" applyBorder="1" applyAlignment="1">
      <alignment horizontal="center" vertical="top"/>
    </xf>
    <xf numFmtId="166" fontId="27" fillId="18" borderId="5" xfId="4" applyNumberFormat="1" applyFont="1" applyFill="1" applyBorder="1" applyAlignment="1">
      <alignment horizontal="center" vertical="top"/>
    </xf>
    <xf numFmtId="0" fontId="15" fillId="0" borderId="0" xfId="0" applyFont="1"/>
    <xf numFmtId="0" fontId="15" fillId="0" borderId="18" xfId="0" applyFont="1" applyBorder="1" applyAlignment="1">
      <alignment horizontal="center"/>
    </xf>
    <xf numFmtId="169" fontId="0" fillId="0" borderId="19" xfId="3" applyNumberFormat="1" applyFont="1" applyBorder="1"/>
    <xf numFmtId="169" fontId="0" fillId="0" borderId="34" xfId="3" applyNumberFormat="1" applyFont="1" applyBorder="1"/>
    <xf numFmtId="166" fontId="15" fillId="17" borderId="17" xfId="4" applyNumberFormat="1" applyFont="1" applyFill="1" applyBorder="1"/>
    <xf numFmtId="169" fontId="0" fillId="0" borderId="18" xfId="3" applyNumberFormat="1" applyFont="1" applyBorder="1"/>
    <xf numFmtId="166" fontId="0" fillId="0" borderId="0" xfId="4" applyNumberFormat="1" applyFont="1"/>
    <xf numFmtId="166" fontId="27" fillId="18" borderId="17" xfId="4" applyNumberFormat="1" applyFont="1" applyFill="1" applyBorder="1" applyAlignment="1">
      <alignment horizontal="center" vertical="top"/>
    </xf>
    <xf numFmtId="43" fontId="0" fillId="0" borderId="0" xfId="3" applyFont="1"/>
    <xf numFmtId="1" fontId="28" fillId="0" borderId="0" xfId="0" applyNumberFormat="1" applyFont="1"/>
    <xf numFmtId="0" fontId="28" fillId="0" borderId="0" xfId="0" applyFont="1"/>
    <xf numFmtId="0" fontId="29" fillId="0" borderId="0" xfId="0" applyFont="1"/>
    <xf numFmtId="0" fontId="0" fillId="0" borderId="0" xfId="0" applyAlignment="1">
      <alignment horizontal="center" vertical="center"/>
    </xf>
    <xf numFmtId="0" fontId="15" fillId="0" borderId="36" xfId="0" applyFont="1" applyBorder="1"/>
    <xf numFmtId="0" fontId="15" fillId="0" borderId="41" xfId="0" applyFont="1" applyBorder="1"/>
    <xf numFmtId="16" fontId="15" fillId="19" borderId="36" xfId="0" applyNumberFormat="1" applyFont="1" applyFill="1" applyBorder="1"/>
    <xf numFmtId="16" fontId="0" fillId="0" borderId="10" xfId="0" applyNumberFormat="1" applyBorder="1"/>
    <xf numFmtId="16" fontId="0" fillId="0" borderId="1" xfId="0" applyNumberFormat="1" applyBorder="1"/>
    <xf numFmtId="171" fontId="0" fillId="0" borderId="1" xfId="0" applyNumberFormat="1" applyBorder="1"/>
    <xf numFmtId="0" fontId="15" fillId="0" borderId="37" xfId="0" applyFont="1" applyBorder="1"/>
    <xf numFmtId="0" fontId="15" fillId="19" borderId="38" xfId="0" applyFont="1" applyFill="1" applyBorder="1"/>
    <xf numFmtId="169" fontId="0" fillId="0" borderId="10" xfId="3" applyNumberFormat="1" applyFont="1" applyFill="1" applyBorder="1"/>
    <xf numFmtId="169" fontId="0" fillId="0" borderId="1" xfId="3" applyNumberFormat="1" applyFont="1" applyFill="1" applyBorder="1"/>
    <xf numFmtId="0" fontId="15" fillId="0" borderId="39" xfId="0" applyFont="1" applyBorder="1"/>
    <xf numFmtId="0" fontId="0" fillId="0" borderId="1" xfId="4" applyNumberFormat="1" applyFont="1" applyFill="1" applyBorder="1"/>
    <xf numFmtId="166" fontId="0" fillId="19" borderId="42" xfId="4" applyNumberFormat="1" applyFont="1" applyFill="1" applyBorder="1"/>
    <xf numFmtId="166" fontId="0" fillId="0" borderId="1" xfId="4" applyNumberFormat="1" applyFont="1" applyFill="1" applyBorder="1"/>
    <xf numFmtId="166" fontId="0" fillId="0" borderId="0" xfId="4" applyNumberFormat="1" applyFont="1" applyBorder="1"/>
    <xf numFmtId="1" fontId="15" fillId="0" borderId="0" xfId="0" applyNumberFormat="1" applyFont="1" applyAlignment="1">
      <alignment horizontal="right" vertical="center"/>
    </xf>
    <xf numFmtId="1" fontId="28" fillId="0" borderId="0" xfId="4" applyNumberFormat="1" applyFont="1" applyFill="1" applyBorder="1"/>
    <xf numFmtId="1" fontId="0" fillId="0" borderId="0" xfId="0" applyNumberFormat="1" applyAlignment="1">
      <alignment horizontal="right" vertical="center"/>
    </xf>
    <xf numFmtId="1" fontId="28" fillId="0" borderId="0" xfId="3" applyNumberFormat="1" applyFont="1" applyBorder="1"/>
    <xf numFmtId="0" fontId="15" fillId="0" borderId="1" xfId="0" applyFont="1" applyBorder="1"/>
    <xf numFmtId="0" fontId="16" fillId="0" borderId="0" xfId="0" applyFont="1"/>
    <xf numFmtId="169" fontId="15" fillId="19" borderId="38" xfId="0" applyNumberFormat="1" applyFont="1" applyFill="1" applyBorder="1"/>
    <xf numFmtId="166" fontId="15" fillId="12" borderId="0" xfId="4" applyNumberFormat="1" applyFont="1" applyFill="1" applyBorder="1"/>
    <xf numFmtId="1" fontId="16" fillId="0" borderId="0" xfId="4" applyNumberFormat="1" applyFont="1" applyFill="1" applyBorder="1"/>
    <xf numFmtId="166" fontId="15" fillId="0" borderId="0" xfId="4" applyNumberFormat="1" applyFont="1" applyFill="1" applyBorder="1"/>
    <xf numFmtId="166" fontId="0" fillId="0" borderId="0" xfId="4" applyNumberFormat="1" applyFont="1" applyFill="1" applyBorder="1"/>
    <xf numFmtId="1" fontId="30" fillId="0" borderId="0" xfId="0" applyNumberFormat="1" applyFont="1"/>
    <xf numFmtId="0" fontId="15" fillId="19" borderId="1" xfId="0" applyFont="1" applyFill="1" applyBorder="1" applyAlignment="1">
      <alignment horizontal="center"/>
    </xf>
    <xf numFmtId="169" fontId="15" fillId="19" borderId="1" xfId="0" applyNumberFormat="1" applyFont="1" applyFill="1" applyBorder="1" applyAlignment="1">
      <alignment horizontal="center"/>
    </xf>
    <xf numFmtId="166" fontId="15" fillId="19" borderId="1" xfId="4" applyNumberFormat="1" applyFont="1" applyFill="1" applyBorder="1" applyAlignment="1">
      <alignment horizontal="center"/>
    </xf>
    <xf numFmtId="166" fontId="28" fillId="0" borderId="0" xfId="4" applyNumberFormat="1" applyFont="1" applyFill="1" applyBorder="1" applyAlignment="1">
      <alignment horizontal="left"/>
    </xf>
    <xf numFmtId="0" fontId="28" fillId="0" borderId="0" xfId="0" applyFont="1" applyAlignment="1">
      <alignment horizontal="left"/>
    </xf>
    <xf numFmtId="1" fontId="17" fillId="0" borderId="0" xfId="0" applyNumberFormat="1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1" fillId="20" borderId="0" xfId="0" applyFont="1" applyFill="1" applyAlignment="1">
      <alignment horizontal="center"/>
    </xf>
    <xf numFmtId="0" fontId="32" fillId="0" borderId="0" xfId="0" applyFont="1" applyAlignment="1">
      <alignment horizontal="center" vertical="top"/>
    </xf>
    <xf numFmtId="0" fontId="31" fillId="21" borderId="0" xfId="0" applyFont="1" applyFill="1" applyAlignment="1">
      <alignment horizontal="center"/>
    </xf>
    <xf numFmtId="0" fontId="31" fillId="22" borderId="0" xfId="0" applyFont="1" applyFill="1" applyAlignment="1">
      <alignment horizontal="center"/>
    </xf>
    <xf numFmtId="0" fontId="31" fillId="23" borderId="0" xfId="0" applyFont="1" applyFill="1" applyAlignment="1">
      <alignment horizontal="center"/>
    </xf>
    <xf numFmtId="0" fontId="31" fillId="24" borderId="0" xfId="0" applyFont="1" applyFill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25" borderId="0" xfId="0" applyFont="1" applyFill="1" applyAlignment="1">
      <alignment horizontal="center"/>
    </xf>
    <xf numFmtId="0" fontId="31" fillId="15" borderId="0" xfId="0" applyFont="1" applyFill="1" applyAlignment="1">
      <alignment horizontal="center"/>
    </xf>
    <xf numFmtId="0" fontId="35" fillId="0" borderId="0" xfId="0" applyFont="1" applyAlignment="1">
      <alignment horizontal="center" vertical="center"/>
    </xf>
    <xf numFmtId="0" fontId="31" fillId="26" borderId="0" xfId="0" applyFont="1" applyFill="1" applyAlignment="1">
      <alignment horizontal="center"/>
    </xf>
    <xf numFmtId="0" fontId="31" fillId="19" borderId="0" xfId="0" applyFont="1" applyFill="1" applyAlignment="1">
      <alignment horizontal="center"/>
    </xf>
    <xf numFmtId="0" fontId="32" fillId="25" borderId="0" xfId="0" applyFont="1" applyFill="1" applyAlignment="1">
      <alignment horizontal="center"/>
    </xf>
    <xf numFmtId="170" fontId="0" fillId="0" borderId="0" xfId="0" applyNumberFormat="1"/>
    <xf numFmtId="170" fontId="15" fillId="0" borderId="0" xfId="0" applyNumberFormat="1" applyFont="1" applyAlignment="1">
      <alignment horizontal="right" vertical="center"/>
    </xf>
    <xf numFmtId="170" fontId="28" fillId="0" borderId="0" xfId="4" applyNumberFormat="1" applyFont="1" applyFill="1" applyBorder="1"/>
    <xf numFmtId="170" fontId="0" fillId="0" borderId="0" xfId="0" applyNumberFormat="1" applyAlignment="1">
      <alignment horizontal="right" vertical="center"/>
    </xf>
    <xf numFmtId="170" fontId="28" fillId="0" borderId="0" xfId="0" applyNumberFormat="1" applyFont="1"/>
    <xf numFmtId="170" fontId="28" fillId="0" borderId="0" xfId="3" applyNumberFormat="1" applyFont="1" applyBorder="1"/>
    <xf numFmtId="170" fontId="16" fillId="0" borderId="0" xfId="4" applyNumberFormat="1" applyFont="1" applyFill="1" applyBorder="1"/>
    <xf numFmtId="171" fontId="0" fillId="0" borderId="0" xfId="0" applyNumberFormat="1"/>
    <xf numFmtId="169" fontId="0" fillId="0" borderId="43" xfId="3" applyNumberFormat="1" applyFont="1" applyFill="1" applyBorder="1"/>
    <xf numFmtId="9" fontId="28" fillId="0" borderId="0" xfId="4" applyFont="1"/>
    <xf numFmtId="166" fontId="0" fillId="0" borderId="44" xfId="4" applyNumberFormat="1" applyFont="1" applyFill="1" applyBorder="1"/>
    <xf numFmtId="170" fontId="28" fillId="0" borderId="0" xfId="4" applyNumberFormat="1" applyFont="1" applyFill="1" applyBorder="1" applyAlignment="1">
      <alignment horizontal="left"/>
    </xf>
    <xf numFmtId="170" fontId="17" fillId="0" borderId="0" xfId="0" applyNumberFormat="1" applyFont="1"/>
    <xf numFmtId="170" fontId="28" fillId="0" borderId="0" xfId="0" applyNumberFormat="1" applyFont="1" applyAlignment="1">
      <alignment horizontal="left"/>
    </xf>
    <xf numFmtId="171" fontId="0" fillId="0" borderId="10" xfId="0" applyNumberFormat="1" applyBorder="1"/>
    <xf numFmtId="16" fontId="15" fillId="19" borderId="3" xfId="0" applyNumberFormat="1" applyFont="1" applyFill="1" applyBorder="1"/>
    <xf numFmtId="169" fontId="15" fillId="19" borderId="45" xfId="0" applyNumberFormat="1" applyFont="1" applyFill="1" applyBorder="1"/>
    <xf numFmtId="169" fontId="17" fillId="0" borderId="0" xfId="0" applyNumberFormat="1" applyFont="1"/>
    <xf numFmtId="0" fontId="7" fillId="0" borderId="1" xfId="11" applyFont="1" applyBorder="1"/>
    <xf numFmtId="0" fontId="15" fillId="0" borderId="1" xfId="11" applyFont="1" applyBorder="1"/>
    <xf numFmtId="0" fontId="15" fillId="0" borderId="0" xfId="11" applyFont="1"/>
    <xf numFmtId="0" fontId="28" fillId="0" borderId="1" xfId="11" applyFont="1" applyBorder="1"/>
    <xf numFmtId="44" fontId="0" fillId="0" borderId="0" xfId="1" applyFont="1"/>
    <xf numFmtId="44" fontId="6" fillId="0" borderId="0" xfId="1" applyFont="1"/>
    <xf numFmtId="0" fontId="6" fillId="0" borderId="0" xfId="0" applyFont="1"/>
    <xf numFmtId="44" fontId="0" fillId="0" borderId="0" xfId="0" applyNumberFormat="1"/>
    <xf numFmtId="164" fontId="0" fillId="0" borderId="0" xfId="0" applyNumberFormat="1"/>
    <xf numFmtId="0" fontId="0" fillId="12" borderId="0" xfId="0" applyFill="1"/>
    <xf numFmtId="0" fontId="20" fillId="12" borderId="0" xfId="2" applyFont="1" applyFill="1" applyAlignment="1">
      <alignment horizontal="center" vertical="center"/>
    </xf>
    <xf numFmtId="44" fontId="0" fillId="0" borderId="0" xfId="1" applyFont="1" applyFill="1"/>
    <xf numFmtId="44" fontId="16" fillId="0" borderId="0" xfId="0" applyNumberFormat="1" applyFont="1"/>
    <xf numFmtId="164" fontId="21" fillId="0" borderId="47" xfId="10" applyBorder="1" applyAlignment="1">
      <alignment horizontal="center" vertical="center"/>
    </xf>
    <xf numFmtId="164" fontId="0" fillId="0" borderId="41" xfId="10" applyFont="1" applyBorder="1" applyAlignment="1">
      <alignment horizontal="center" vertical="center"/>
    </xf>
    <xf numFmtId="164" fontId="21" fillId="0" borderId="48" xfId="10" applyBorder="1" applyAlignment="1">
      <alignment horizontal="center" vertical="center"/>
    </xf>
    <xf numFmtId="164" fontId="21" fillId="0" borderId="49" xfId="2" applyNumberFormat="1" applyBorder="1" applyAlignment="1">
      <alignment horizontal="center" vertical="center"/>
    </xf>
    <xf numFmtId="164" fontId="21" fillId="0" borderId="38" xfId="2" applyNumberFormat="1" applyBorder="1" applyAlignment="1">
      <alignment horizontal="center" vertical="center"/>
    </xf>
    <xf numFmtId="164" fontId="21" fillId="0" borderId="42" xfId="2" applyNumberFormat="1" applyBorder="1" applyAlignment="1">
      <alignment horizontal="center" vertical="center"/>
    </xf>
    <xf numFmtId="164" fontId="21" fillId="0" borderId="36" xfId="10" applyBorder="1" applyAlignment="1">
      <alignment horizontal="center" vertical="center"/>
    </xf>
    <xf numFmtId="3" fontId="39" fillId="0" borderId="1" xfId="11" applyNumberFormat="1" applyFont="1" applyBorder="1" applyAlignment="1">
      <alignment horizontal="center" vertical="center"/>
    </xf>
    <xf numFmtId="3" fontId="39" fillId="0" borderId="1" xfId="11" applyNumberFormat="1" applyFont="1" applyBorder="1"/>
    <xf numFmtId="0" fontId="37" fillId="0" borderId="0" xfId="0" applyFont="1"/>
    <xf numFmtId="0" fontId="5" fillId="0" borderId="1" xfId="11" applyFont="1" applyBorder="1"/>
    <xf numFmtId="4" fontId="0" fillId="0" borderId="1" xfId="11" applyNumberFormat="1" applyFont="1" applyBorder="1"/>
    <xf numFmtId="4" fontId="0" fillId="12" borderId="1" xfId="11" applyNumberFormat="1" applyFont="1" applyFill="1" applyBorder="1"/>
    <xf numFmtId="3" fontId="12" fillId="0" borderId="1" xfId="11" applyNumberFormat="1" applyBorder="1"/>
    <xf numFmtId="0" fontId="5" fillId="27" borderId="1" xfId="11" applyFont="1" applyFill="1" applyBorder="1"/>
    <xf numFmtId="4" fontId="12" fillId="27" borderId="1" xfId="11" applyNumberFormat="1" applyFill="1" applyBorder="1"/>
    <xf numFmtId="0" fontId="12" fillId="27" borderId="1" xfId="11" applyFill="1" applyBorder="1"/>
    <xf numFmtId="170" fontId="12" fillId="27" borderId="1" xfId="11" applyNumberFormat="1" applyFill="1" applyBorder="1"/>
    <xf numFmtId="0" fontId="5" fillId="28" borderId="1" xfId="11" applyFont="1" applyFill="1" applyBorder="1"/>
    <xf numFmtId="4" fontId="0" fillId="28" borderId="1" xfId="8" applyNumberFormat="1" applyFont="1" applyFill="1" applyBorder="1"/>
    <xf numFmtId="0" fontId="0" fillId="28" borderId="1" xfId="11" applyFont="1" applyFill="1" applyBorder="1"/>
    <xf numFmtId="170" fontId="0" fillId="28" borderId="1" xfId="8" applyNumberFormat="1" applyFont="1" applyFill="1" applyBorder="1"/>
    <xf numFmtId="0" fontId="40" fillId="0" borderId="1" xfId="11" applyFont="1" applyBorder="1"/>
    <xf numFmtId="1" fontId="41" fillId="0" borderId="0" xfId="11" applyNumberFormat="1" applyFont="1" applyAlignment="1">
      <alignment horizontal="left"/>
    </xf>
    <xf numFmtId="1" fontId="12" fillId="0" borderId="0" xfId="11" applyNumberFormat="1" applyAlignment="1">
      <alignment horizontal="left"/>
    </xf>
    <xf numFmtId="1" fontId="0" fillId="0" borderId="0" xfId="0" applyNumberFormat="1" applyAlignment="1">
      <alignment horizontal="left"/>
    </xf>
    <xf numFmtId="1" fontId="28" fillId="0" borderId="0" xfId="11" applyNumberFormat="1" applyFont="1" applyAlignment="1">
      <alignment horizontal="left"/>
    </xf>
    <xf numFmtId="169" fontId="0" fillId="0" borderId="0" xfId="0" applyNumberFormat="1"/>
    <xf numFmtId="4" fontId="0" fillId="0" borderId="0" xfId="0" applyNumberFormat="1"/>
    <xf numFmtId="0" fontId="40" fillId="0" borderId="0" xfId="11" applyFont="1"/>
    <xf numFmtId="0" fontId="4" fillId="0" borderId="1" xfId="11" applyFont="1" applyBorder="1"/>
    <xf numFmtId="3" fontId="16" fillId="12" borderId="1" xfId="11" applyNumberFormat="1" applyFont="1" applyFill="1" applyBorder="1" applyAlignment="1">
      <alignment horizontal="center" vertical="center" wrapText="1"/>
    </xf>
    <xf numFmtId="0" fontId="16" fillId="13" borderId="1" xfId="11" applyFont="1" applyFill="1" applyBorder="1" applyAlignment="1">
      <alignment wrapText="1"/>
    </xf>
    <xf numFmtId="0" fontId="15" fillId="13" borderId="1" xfId="11" applyFont="1" applyFill="1" applyBorder="1" applyAlignment="1">
      <alignment wrapText="1"/>
    </xf>
    <xf numFmtId="0" fontId="15" fillId="13" borderId="1" xfId="11" applyFont="1" applyFill="1" applyBorder="1"/>
    <xf numFmtId="4" fontId="0" fillId="13" borderId="1" xfId="8" applyNumberFormat="1" applyFont="1" applyFill="1" applyBorder="1"/>
    <xf numFmtId="168" fontId="0" fillId="13" borderId="1" xfId="8" applyNumberFormat="1" applyFont="1" applyFill="1" applyBorder="1"/>
    <xf numFmtId="4" fontId="12" fillId="13" borderId="1" xfId="11" applyNumberFormat="1" applyFill="1" applyBorder="1"/>
    <xf numFmtId="0" fontId="12" fillId="13" borderId="1" xfId="11" applyFill="1" applyBorder="1"/>
    <xf numFmtId="8" fontId="0" fillId="13" borderId="1" xfId="8" applyNumberFormat="1" applyFont="1" applyFill="1" applyBorder="1"/>
    <xf numFmtId="4" fontId="12" fillId="13" borderId="0" xfId="11" applyNumberFormat="1" applyFill="1"/>
    <xf numFmtId="0" fontId="12" fillId="13" borderId="0" xfId="11" applyFill="1"/>
    <xf numFmtId="1" fontId="0" fillId="13" borderId="1" xfId="8" applyNumberFormat="1" applyFont="1" applyFill="1" applyBorder="1"/>
    <xf numFmtId="165" fontId="0" fillId="13" borderId="1" xfId="8" applyFont="1" applyFill="1" applyBorder="1"/>
    <xf numFmtId="169" fontId="0" fillId="13" borderId="1" xfId="8" applyNumberFormat="1" applyFont="1" applyFill="1" applyBorder="1"/>
    <xf numFmtId="3" fontId="0" fillId="13" borderId="1" xfId="8" applyNumberFormat="1" applyFont="1" applyFill="1" applyBorder="1"/>
    <xf numFmtId="1" fontId="0" fillId="13" borderId="1" xfId="4" applyNumberFormat="1" applyFont="1" applyFill="1" applyBorder="1"/>
    <xf numFmtId="0" fontId="4" fillId="0" borderId="0" xfId="0" applyFont="1"/>
    <xf numFmtId="1" fontId="40" fillId="0" borderId="0" xfId="0" applyNumberFormat="1" applyFont="1"/>
    <xf numFmtId="164" fontId="37" fillId="0" borderId="0" xfId="0" applyNumberFormat="1" applyFont="1"/>
    <xf numFmtId="3" fontId="28" fillId="0" borderId="0" xfId="11" applyNumberFormat="1" applyFont="1" applyAlignment="1">
      <alignment horizontal="left"/>
    </xf>
    <xf numFmtId="3" fontId="28" fillId="0" borderId="0" xfId="0" applyNumberFormat="1" applyFont="1" applyAlignment="1">
      <alignment horizontal="left"/>
    </xf>
    <xf numFmtId="172" fontId="38" fillId="12" borderId="0" xfId="3" applyNumberFormat="1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2" fillId="0" borderId="0" xfId="0" applyFont="1"/>
    <xf numFmtId="0" fontId="35" fillId="0" borderId="0" xfId="0" applyFont="1" applyAlignment="1">
      <alignment horizontal="center"/>
    </xf>
    <xf numFmtId="166" fontId="43" fillId="29" borderId="4" xfId="4" applyNumberFormat="1" applyFont="1" applyFill="1" applyBorder="1" applyAlignment="1">
      <alignment horizontal="center" vertical="top"/>
    </xf>
    <xf numFmtId="1" fontId="28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5" fillId="13" borderId="0" xfId="0" applyFont="1" applyFill="1"/>
    <xf numFmtId="1" fontId="28" fillId="0" borderId="0" xfId="4" applyNumberFormat="1" applyFont="1" applyFill="1" applyBorder="1" applyAlignment="1">
      <alignment horizontal="right" vertical="center"/>
    </xf>
    <xf numFmtId="0" fontId="21" fillId="0" borderId="50" xfId="9" applyBorder="1" applyAlignment="1">
      <alignment horizontal="center" vertical="center"/>
    </xf>
    <xf numFmtId="164" fontId="21" fillId="0" borderId="51" xfId="10" applyBorder="1" applyAlignment="1">
      <alignment horizontal="center" vertical="center"/>
    </xf>
    <xf numFmtId="0" fontId="0" fillId="0" borderId="36" xfId="0" applyBorder="1"/>
    <xf numFmtId="43" fontId="28" fillId="0" borderId="0" xfId="3" applyFont="1" applyFill="1" applyBorder="1"/>
    <xf numFmtId="0" fontId="16" fillId="13" borderId="0" xfId="0" applyFont="1" applyFill="1"/>
    <xf numFmtId="1" fontId="16" fillId="0" borderId="52" xfId="4" applyNumberFormat="1" applyFont="1" applyFill="1" applyBorder="1"/>
    <xf numFmtId="44" fontId="24" fillId="0" borderId="1" xfId="1" applyFont="1" applyBorder="1" applyAlignment="1">
      <alignment horizontal="center" vertical="center"/>
    </xf>
    <xf numFmtId="0" fontId="0" fillId="0" borderId="1" xfId="3" applyNumberFormat="1" applyFont="1" applyFill="1" applyBorder="1"/>
    <xf numFmtId="171" fontId="1" fillId="0" borderId="1" xfId="0" applyNumberFormat="1" applyFont="1" applyBorder="1"/>
    <xf numFmtId="169" fontId="28" fillId="0" borderId="0" xfId="0" applyNumberFormat="1" applyFont="1"/>
    <xf numFmtId="166" fontId="15" fillId="19" borderId="46" xfId="4" applyNumberFormat="1" applyFont="1" applyFill="1" applyBorder="1"/>
    <xf numFmtId="169" fontId="28" fillId="0" borderId="0" xfId="4" applyNumberFormat="1" applyFont="1"/>
    <xf numFmtId="9" fontId="0" fillId="0" borderId="0" xfId="4" applyFont="1"/>
    <xf numFmtId="1" fontId="28" fillId="0" borderId="0" xfId="0" applyNumberFormat="1" applyFont="1" applyAlignment="1">
      <alignment horizontal="right" vertical="center"/>
    </xf>
    <xf numFmtId="3" fontId="16" fillId="0" borderId="1" xfId="11" applyNumberFormat="1" applyFont="1" applyBorder="1" applyAlignment="1">
      <alignment horizontal="center" vertical="center"/>
    </xf>
    <xf numFmtId="0" fontId="31" fillId="0" borderId="0" xfId="3" applyNumberFormat="1" applyFont="1" applyAlignment="1">
      <alignment horizontal="center"/>
    </xf>
    <xf numFmtId="0" fontId="31" fillId="0" borderId="0" xfId="3" applyNumberFormat="1" applyFont="1" applyFill="1" applyAlignment="1">
      <alignment horizontal="center"/>
    </xf>
    <xf numFmtId="0" fontId="34" fillId="0" borderId="0" xfId="3" applyNumberFormat="1" applyFont="1" applyFill="1" applyAlignment="1">
      <alignment horizontal="center"/>
    </xf>
    <xf numFmtId="0" fontId="15" fillId="0" borderId="53" xfId="0" applyFont="1" applyBorder="1"/>
    <xf numFmtId="169" fontId="0" fillId="30" borderId="1" xfId="3" applyNumberFormat="1" applyFont="1" applyFill="1" applyBorder="1"/>
    <xf numFmtId="169" fontId="0" fillId="12" borderId="1" xfId="3" applyNumberFormat="1" applyFont="1" applyFill="1" applyBorder="1"/>
    <xf numFmtId="1" fontId="37" fillId="0" borderId="0" xfId="0" applyNumberFormat="1" applyFont="1"/>
    <xf numFmtId="169" fontId="28" fillId="0" borderId="0" xfId="3" applyNumberFormat="1" applyFont="1"/>
    <xf numFmtId="0" fontId="46" fillId="0" borderId="0" xfId="0" applyFont="1"/>
    <xf numFmtId="0" fontId="36" fillId="0" borderId="0" xfId="0" applyFont="1"/>
    <xf numFmtId="166" fontId="28" fillId="0" borderId="0" xfId="4" applyNumberFormat="1" applyFont="1" applyFill="1" applyBorder="1" applyAlignment="1">
      <alignment horizontal="right"/>
    </xf>
    <xf numFmtId="169" fontId="28" fillId="0" borderId="0" xfId="4" applyNumberFormat="1" applyFont="1" applyFill="1"/>
    <xf numFmtId="22" fontId="0" fillId="0" borderId="0" xfId="0" applyNumberFormat="1" applyAlignment="1">
      <alignment horizontal="center"/>
    </xf>
    <xf numFmtId="0" fontId="25" fillId="0" borderId="0" xfId="11" applyFont="1" applyAlignment="1">
      <alignment horizontal="center"/>
    </xf>
    <xf numFmtId="0" fontId="26" fillId="13" borderId="0" xfId="11" applyFont="1" applyFill="1" applyAlignment="1">
      <alignment horizontal="center"/>
    </xf>
    <xf numFmtId="0" fontId="20" fillId="0" borderId="2" xfId="9" applyFont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0" fillId="0" borderId="6" xfId="9" applyFont="1" applyBorder="1" applyAlignment="1">
      <alignment horizontal="center" vertical="center"/>
    </xf>
    <xf numFmtId="0" fontId="20" fillId="0" borderId="9" xfId="9" applyFont="1" applyBorder="1" applyAlignment="1">
      <alignment horizontal="center" vertical="center"/>
    </xf>
    <xf numFmtId="0" fontId="20" fillId="0" borderId="12" xfId="9" applyFont="1" applyBorder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19" fillId="0" borderId="0" xfId="9" applyFont="1" applyAlignment="1">
      <alignment horizontal="center" vertical="center"/>
    </xf>
    <xf numFmtId="0" fontId="20" fillId="0" borderId="11" xfId="9" applyFont="1" applyBorder="1" applyAlignment="1">
      <alignment horizontal="center" vertical="center"/>
    </xf>
    <xf numFmtId="0" fontId="20" fillId="0" borderId="24" xfId="9" applyFont="1" applyBorder="1" applyAlignment="1">
      <alignment horizontal="center" vertical="center"/>
    </xf>
    <xf numFmtId="0" fontId="20" fillId="0" borderId="26" xfId="9" applyFont="1" applyBorder="1" applyAlignment="1">
      <alignment horizontal="center" vertical="center"/>
    </xf>
    <xf numFmtId="0" fontId="20" fillId="0" borderId="32" xfId="9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2" fontId="11" fillId="0" borderId="0" xfId="11" applyNumberFormat="1" applyFont="1" applyAlignment="1">
      <alignment horizontal="center"/>
    </xf>
  </cellXfs>
  <cellStyles count="13">
    <cellStyle name="Comma" xfId="3" builtinId="3"/>
    <cellStyle name="Comma 2" xfId="7"/>
    <cellStyle name="Comma 3" xfId="8"/>
    <cellStyle name="Currency" xfId="1" builtinId="4"/>
    <cellStyle name="Currency 2" xfId="10"/>
    <cellStyle name="Normal" xfId="0" builtinId="0"/>
    <cellStyle name="Normal 2" xfId="9"/>
    <cellStyle name="Normal 3" xfId="2"/>
    <cellStyle name="Normal 4" xfId="11"/>
    <cellStyle name="Normal 5" xfId="6"/>
    <cellStyle name="Normal 6" xfId="12"/>
    <cellStyle name="Percent" xfId="4" builtinId="5"/>
    <cellStyle name="Percent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7"/>
          <c:order val="0"/>
          <c:tx>
            <c:strRef>
              <c:f>Total!$A$20</c:f>
              <c:strCache>
                <c:ptCount val="1"/>
                <c:pt idx="0">
                  <c:v>% Scrap 2021</c:v>
                </c:pt>
              </c:strCache>
            </c:strRef>
          </c:tx>
          <c:val>
            <c:numRef>
              <c:f>Total!$B$20:$M$20</c:f>
              <c:numCache>
                <c:formatCode>0.0%</c:formatCode>
                <c:ptCount val="12"/>
                <c:pt idx="0">
                  <c:v>0.282989304849741</c:v>
                </c:pt>
                <c:pt idx="1">
                  <c:v>0.27007970297262551</c:v>
                </c:pt>
                <c:pt idx="2">
                  <c:v>0.3066758164104102</c:v>
                </c:pt>
                <c:pt idx="3">
                  <c:v>0.27084123889353762</c:v>
                </c:pt>
                <c:pt idx="4">
                  <c:v>0.28276261919883672</c:v>
                </c:pt>
                <c:pt idx="5">
                  <c:v>0.26307383890782665</c:v>
                </c:pt>
                <c:pt idx="6">
                  <c:v>0.28386292611017627</c:v>
                </c:pt>
                <c:pt idx="7">
                  <c:v>0.27436083219093144</c:v>
                </c:pt>
                <c:pt idx="8">
                  <c:v>0.29386309099487212</c:v>
                </c:pt>
                <c:pt idx="9">
                  <c:v>0.34440180086503924</c:v>
                </c:pt>
                <c:pt idx="10">
                  <c:v>0.30189860882516328</c:v>
                </c:pt>
                <c:pt idx="11">
                  <c:v>0.3863674855894586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14-474C-B6CA-438BB3685D72}"/>
            </c:ext>
          </c:extLst>
        </c:ser>
        <c:ser>
          <c:idx val="0"/>
          <c:order val="1"/>
          <c:tx>
            <c:strRef>
              <c:f>Total!$A$21</c:f>
              <c:strCache>
                <c:ptCount val="1"/>
                <c:pt idx="0">
                  <c:v>% Scrap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Total!$B$21:$N$21</c:f>
              <c:numCache>
                <c:formatCode>0.0%</c:formatCode>
                <c:ptCount val="13"/>
                <c:pt idx="0">
                  <c:v>0.242100106239724</c:v>
                </c:pt>
                <c:pt idx="1">
                  <c:v>0.27398662115428402</c:v>
                </c:pt>
                <c:pt idx="2">
                  <c:v>0.253900865425154</c:v>
                </c:pt>
                <c:pt idx="3">
                  <c:v>0.25827170716646802</c:v>
                </c:pt>
                <c:pt idx="4">
                  <c:v>0.22432914924109401</c:v>
                </c:pt>
                <c:pt idx="5">
                  <c:v>0.25367742390097497</c:v>
                </c:pt>
                <c:pt idx="6">
                  <c:v>0.211686751242052</c:v>
                </c:pt>
                <c:pt idx="7">
                  <c:v>0.26441243884495202</c:v>
                </c:pt>
                <c:pt idx="8">
                  <c:v>0.25662659219856898</c:v>
                </c:pt>
                <c:pt idx="9">
                  <c:v>0.27575345176209698</c:v>
                </c:pt>
                <c:pt idx="10">
                  <c:v>0.28621880952699902</c:v>
                </c:pt>
                <c:pt idx="11">
                  <c:v>0.33403510804214398</c:v>
                </c:pt>
                <c:pt idx="12">
                  <c:v>0.25826888813466498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14-474C-B6CA-438BB3685D72}"/>
            </c:ext>
          </c:extLst>
        </c:ser>
        <c:ser>
          <c:idx val="1"/>
          <c:order val="2"/>
          <c:tx>
            <c:strRef>
              <c:f>Total!$A$23</c:f>
              <c:strCache>
                <c:ptCount val="1"/>
                <c:pt idx="0">
                  <c:v>% Scrap 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Total!$B$23:$N$23</c:f>
              <c:numCache>
                <c:formatCode>0.0%</c:formatCode>
                <c:ptCount val="13"/>
                <c:pt idx="0">
                  <c:v>0.25929732598842198</c:v>
                </c:pt>
                <c:pt idx="1">
                  <c:v>0.193081356699013</c:v>
                </c:pt>
                <c:pt idx="2">
                  <c:v>0.23454886571943001</c:v>
                </c:pt>
                <c:pt idx="3">
                  <c:v>0.21097280893473999</c:v>
                </c:pt>
                <c:pt idx="4">
                  <c:v>0.222184107140731</c:v>
                </c:pt>
                <c:pt idx="5">
                  <c:v>0.211682814212242</c:v>
                </c:pt>
                <c:pt idx="6">
                  <c:v>0.19722891142676</c:v>
                </c:pt>
                <c:pt idx="7">
                  <c:v>0.220355606441999</c:v>
                </c:pt>
                <c:pt idx="8">
                  <c:v>0.23415484199468001</c:v>
                </c:pt>
                <c:pt idx="9">
                  <c:v>0.248990688177364</c:v>
                </c:pt>
                <c:pt idx="10">
                  <c:v>0.29553858489010798</c:v>
                </c:pt>
                <c:pt idx="11">
                  <c:v>0.29662104459628102</c:v>
                </c:pt>
                <c:pt idx="12">
                  <c:v>0.23484291855995301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14-474C-B6CA-438BB3685D72}"/>
            </c:ext>
          </c:extLst>
        </c:ser>
        <c:ser>
          <c:idx val="2"/>
          <c:order val="3"/>
          <c:tx>
            <c:strRef>
              <c:f>Total!$A$24</c:f>
              <c:strCache>
                <c:ptCount val="1"/>
                <c:pt idx="0">
                  <c:v>% Scrap 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Total!$B$24:$N$24</c:f>
              <c:numCache>
                <c:formatCode>0.0%</c:formatCode>
                <c:ptCount val="13"/>
                <c:pt idx="0">
                  <c:v>0.24359089034187101</c:v>
                </c:pt>
                <c:pt idx="1">
                  <c:v>0.257521105561897</c:v>
                </c:pt>
                <c:pt idx="2">
                  <c:v>0.24943464641371499</c:v>
                </c:pt>
                <c:pt idx="3">
                  <c:v>0.215135905968658</c:v>
                </c:pt>
                <c:pt idx="4">
                  <c:v>0.20516300219620101</c:v>
                </c:pt>
                <c:pt idx="5">
                  <c:v>0.21917141517493599</c:v>
                </c:pt>
                <c:pt idx="6">
                  <c:v>0.21234379810648901</c:v>
                </c:pt>
                <c:pt idx="7">
                  <c:v>0.23284718909701599</c:v>
                </c:pt>
                <c:pt idx="8">
                  <c:v>0.26637997674729502</c:v>
                </c:pt>
                <c:pt idx="9">
                  <c:v>0.26978267312031401</c:v>
                </c:pt>
                <c:pt idx="10">
                  <c:v>0.25685914580367097</c:v>
                </c:pt>
                <c:pt idx="11">
                  <c:v>0.22</c:v>
                </c:pt>
                <c:pt idx="12">
                  <c:v>0.23899999999999999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14-474C-B6CA-438BB3685D72}"/>
            </c:ext>
          </c:extLst>
        </c:ser>
        <c:ser>
          <c:idx val="3"/>
          <c:order val="4"/>
          <c:tx>
            <c:strRef>
              <c:f>Total!$A$25</c:f>
              <c:strCache>
                <c:ptCount val="1"/>
                <c:pt idx="0">
                  <c:v>% Scrap 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Total!$B$25:$N$25</c:f>
              <c:numCache>
                <c:formatCode>0.0%</c:formatCode>
                <c:ptCount val="13"/>
                <c:pt idx="0">
                  <c:v>0.18838030702091799</c:v>
                </c:pt>
                <c:pt idx="1">
                  <c:v>0.20098213169429999</c:v>
                </c:pt>
                <c:pt idx="2">
                  <c:v>0.14490605396983999</c:v>
                </c:pt>
                <c:pt idx="3">
                  <c:v>0.16934050725800601</c:v>
                </c:pt>
                <c:pt idx="4">
                  <c:v>0.18930687062325699</c:v>
                </c:pt>
                <c:pt idx="5">
                  <c:v>0.17739610449528001</c:v>
                </c:pt>
                <c:pt idx="6">
                  <c:v>0.228107474127238</c:v>
                </c:pt>
                <c:pt idx="7">
                  <c:v>0.27612990857248398</c:v>
                </c:pt>
                <c:pt idx="8">
                  <c:v>0.24930549083384501</c:v>
                </c:pt>
                <c:pt idx="9">
                  <c:v>0.248952925916196</c:v>
                </c:pt>
                <c:pt idx="10">
                  <c:v>0.29015387283472899</c:v>
                </c:pt>
                <c:pt idx="11">
                  <c:v>0.30298602248770201</c:v>
                </c:pt>
                <c:pt idx="12">
                  <c:v>0.22216230581948301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D14-474C-B6CA-438BB3685D72}"/>
            </c:ext>
          </c:extLst>
        </c:ser>
        <c:ser>
          <c:idx val="4"/>
          <c:order val="5"/>
          <c:tx>
            <c:strRef>
              <c:f>Total!$A$26</c:f>
              <c:strCache>
                <c:ptCount val="1"/>
                <c:pt idx="0">
                  <c:v>% Scrap 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Total!$B$26:$N$26</c:f>
              <c:numCache>
                <c:formatCode>0.0%</c:formatCode>
                <c:ptCount val="13"/>
                <c:pt idx="0">
                  <c:v>0.216359154929577</c:v>
                </c:pt>
                <c:pt idx="1">
                  <c:v>0.19563311068702299</c:v>
                </c:pt>
                <c:pt idx="2">
                  <c:v>0.19286981843097001</c:v>
                </c:pt>
                <c:pt idx="3">
                  <c:v>0.16708261695448001</c:v>
                </c:pt>
                <c:pt idx="4">
                  <c:v>0.175030735880948</c:v>
                </c:pt>
                <c:pt idx="5">
                  <c:v>0.197343395958057</c:v>
                </c:pt>
                <c:pt idx="6">
                  <c:v>0.210175680595591</c:v>
                </c:pt>
                <c:pt idx="7">
                  <c:v>0.25476149505895601</c:v>
                </c:pt>
                <c:pt idx="8">
                  <c:v>0.30193516677747301</c:v>
                </c:pt>
                <c:pt idx="9">
                  <c:v>0.29240533422196602</c:v>
                </c:pt>
                <c:pt idx="10">
                  <c:v>0.25608789884135902</c:v>
                </c:pt>
                <c:pt idx="11">
                  <c:v>0.38244122369097999</c:v>
                </c:pt>
                <c:pt idx="12">
                  <c:v>0.236843802668948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D14-474C-B6CA-438BB3685D72}"/>
            </c:ext>
          </c:extLst>
        </c:ser>
        <c:ser>
          <c:idx val="5"/>
          <c:order val="6"/>
          <c:tx>
            <c:strRef>
              <c:f>Total!$A$27</c:f>
              <c:strCache>
                <c:ptCount val="1"/>
                <c:pt idx="0">
                  <c:v>% Scrap 2014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Total!$B$27:$N$27</c:f>
              <c:numCache>
                <c:formatCode>0.0%</c:formatCode>
                <c:ptCount val="13"/>
                <c:pt idx="0">
                  <c:v>0.233625844961413</c:v>
                </c:pt>
                <c:pt idx="1">
                  <c:v>0.20385407266901201</c:v>
                </c:pt>
                <c:pt idx="2">
                  <c:v>0.189938585211263</c:v>
                </c:pt>
                <c:pt idx="3">
                  <c:v>0.19606636163138999</c:v>
                </c:pt>
                <c:pt idx="4">
                  <c:v>0.19714681103953299</c:v>
                </c:pt>
                <c:pt idx="5">
                  <c:v>0.22737697579117699</c:v>
                </c:pt>
                <c:pt idx="6">
                  <c:v>0.23450058649720101</c:v>
                </c:pt>
                <c:pt idx="7">
                  <c:v>0.27153179862986898</c:v>
                </c:pt>
                <c:pt idx="8">
                  <c:v>0.28825431445613098</c:v>
                </c:pt>
                <c:pt idx="9">
                  <c:v>0.31290936464920199</c:v>
                </c:pt>
                <c:pt idx="10">
                  <c:v>0.23017415730337101</c:v>
                </c:pt>
                <c:pt idx="11">
                  <c:v>0.24783532317826301</c:v>
                </c:pt>
                <c:pt idx="12">
                  <c:v>0.236101183001485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14-474C-B6CA-438BB3685D72}"/>
            </c:ext>
          </c:extLst>
        </c:ser>
        <c:ser>
          <c:idx val="6"/>
          <c:order val="7"/>
          <c:tx>
            <c:strRef>
              <c:f>Total!$A$28</c:f>
              <c:strCache>
                <c:ptCount val="1"/>
                <c:pt idx="0">
                  <c:v>% Scrap 2013</c:v>
                </c:pt>
              </c:strCache>
            </c:strRef>
          </c:tx>
          <c:spPr>
            <a:solidFill>
              <a:schemeClr val="accent1">
                <a:tint val="30000"/>
              </a:schemeClr>
            </a:solidFill>
            <a:ln>
              <a:noFill/>
            </a:ln>
            <a:effectLst/>
          </c:spPr>
          <c:cat>
            <c:strRef>
              <c:f>Total!$B$4:$N$4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Total!$B$28:$N$28</c:f>
              <c:numCache>
                <c:formatCode>0.0%</c:formatCode>
                <c:ptCount val="13"/>
                <c:pt idx="0">
                  <c:v>0.172891846034293</c:v>
                </c:pt>
                <c:pt idx="1">
                  <c:v>0.187081753353978</c:v>
                </c:pt>
                <c:pt idx="2">
                  <c:v>0.17479186210131301</c:v>
                </c:pt>
                <c:pt idx="3">
                  <c:v>0.19993612264452301</c:v>
                </c:pt>
                <c:pt idx="4">
                  <c:v>0.17362962962962999</c:v>
                </c:pt>
                <c:pt idx="5">
                  <c:v>0.187130663164806</c:v>
                </c:pt>
                <c:pt idx="6">
                  <c:v>0.220823101493695</c:v>
                </c:pt>
                <c:pt idx="7">
                  <c:v>0.18234100135317999</c:v>
                </c:pt>
                <c:pt idx="8">
                  <c:v>0.206213724820758</c:v>
                </c:pt>
                <c:pt idx="9">
                  <c:v>0.20779577271479499</c:v>
                </c:pt>
                <c:pt idx="10">
                  <c:v>0.20122699386503101</c:v>
                </c:pt>
                <c:pt idx="11">
                  <c:v>0.241013824884793</c:v>
                </c:pt>
                <c:pt idx="12">
                  <c:v>0.196239691338399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D14-474C-B6CA-438BB3685D72}"/>
            </c:ext>
          </c:extLst>
        </c:ser>
        <c:dLbls/>
        <c:axId val="314262656"/>
        <c:axId val="314264192"/>
      </c:barChart>
      <c:catAx>
        <c:axId val="314262656"/>
        <c:scaling>
          <c:orientation val="minMax"/>
        </c:scaling>
        <c:axPos val="b"/>
        <c:numFmt formatCode="General" sourceLinked="0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264192"/>
        <c:crosses val="autoZero"/>
        <c:auto val="1"/>
        <c:lblAlgn val="ctr"/>
        <c:lblOffset val="100"/>
      </c:catAx>
      <c:valAx>
        <c:axId val="3142641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%" sourceLinked="1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2626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plant 3  qty</a:t>
            </a:r>
          </a:p>
        </c:rich>
      </c:tx>
    </c:title>
    <c:plotArea>
      <c:layout>
        <c:manualLayout>
          <c:layoutTarget val="inner"/>
          <c:xMode val="edge"/>
          <c:yMode val="edge"/>
          <c:x val="9.8602447120704706E-2"/>
          <c:y val="0.40654646430067254"/>
          <c:w val="0.80911436200067299"/>
          <c:h val="0.35140857392827729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'Scrap AMOUNT'!$B$9:$M$9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'Scrap AMOUNT'!$B$86:$M$86</c:f>
              <c:numCache>
                <c:formatCode>#,##0.00</c:formatCode>
                <c:ptCount val="12"/>
                <c:pt idx="0">
                  <c:v>243.089</c:v>
                </c:pt>
                <c:pt idx="1">
                  <c:v>203.31200000000001</c:v>
                </c:pt>
                <c:pt idx="2">
                  <c:v>284.64599999999996</c:v>
                </c:pt>
                <c:pt idx="3">
                  <c:v>328.40999999999997</c:v>
                </c:pt>
                <c:pt idx="4">
                  <c:v>288.267</c:v>
                </c:pt>
                <c:pt idx="5">
                  <c:v>264.50299999999999</c:v>
                </c:pt>
                <c:pt idx="6">
                  <c:v>245.78050000000002</c:v>
                </c:pt>
                <c:pt idx="7">
                  <c:v>252.41899999999998</c:v>
                </c:pt>
                <c:pt idx="8">
                  <c:v>146.21600000000001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C-41C6-AE08-D04801FC8903}"/>
            </c:ext>
          </c:extLst>
        </c:ser>
        <c:dLbls/>
        <c:marker val="1"/>
        <c:axId val="313691136"/>
        <c:axId val="313697024"/>
      </c:lineChart>
      <c:catAx>
        <c:axId val="313691136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697024"/>
        <c:crosses val="autoZero"/>
        <c:auto val="1"/>
        <c:lblAlgn val="ctr"/>
        <c:lblOffset val="100"/>
      </c:catAx>
      <c:valAx>
        <c:axId val="313697024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691136"/>
        <c:crosses val="autoZero"/>
        <c:crossBetween val="between"/>
      </c:valAx>
    </c:plotArea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QUANTITY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9.7350652717996505E-2"/>
          <c:y val="0.22158687383328388"/>
          <c:w val="0.86847016056824899"/>
          <c:h val="0.63544233441410314"/>
        </c:manualLayout>
      </c:layout>
      <c:areaChart>
        <c:grouping val="stacked"/>
        <c:ser>
          <c:idx val="0"/>
          <c:order val="0"/>
          <c:tx>
            <c:strRef>
              <c:f>'Scrap AMOUNT JAN TO JUL'!$A$10</c:f>
              <c:strCache>
                <c:ptCount val="1"/>
                <c:pt idx="0">
                  <c:v>Q'ty (mton)</c:v>
                </c:pt>
              </c:strCache>
            </c:strRef>
          </c:tx>
          <c:spPr>
            <a:solidFill>
              <a:srgbClr val="FFFF00"/>
            </a:solidFill>
          </c:spPr>
          <c:dLbls>
            <c:dLbl>
              <c:idx val="0"/>
              <c:layout>
                <c:manualLayout>
                  <c:x val="3.0303024277613912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D0-4978-A049-815D1EAC8ED9}"/>
                </c:ext>
              </c:extLst>
            </c:dLbl>
            <c:dLbl>
              <c:idx val="4"/>
              <c:layout>
                <c:manualLayout>
                  <c:x val="-3.2828276300748402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D0-4978-A049-815D1EAC8E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'Scrap AMOUNT JAN TO JUL'!$B$9:$H$9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 </c:v>
                </c:pt>
              </c:strCache>
            </c:strRef>
          </c:cat>
          <c:val>
            <c:numRef>
              <c:f>'Scrap AMOUNT JAN TO JUL'!$B$10:$H$10</c:f>
              <c:numCache>
                <c:formatCode>_(* #,##0.00_);_(* \(#,##0.00\);_(* "-"??_);_(@_)</c:formatCode>
                <c:ptCount val="7"/>
                <c:pt idx="0">
                  <c:v>936.38550000000009</c:v>
                </c:pt>
                <c:pt idx="1">
                  <c:v>950.5379999999999</c:v>
                </c:pt>
                <c:pt idx="2">
                  <c:v>1243.973</c:v>
                </c:pt>
                <c:pt idx="3">
                  <c:v>1272.1990000000001</c:v>
                </c:pt>
                <c:pt idx="4">
                  <c:v>1333.817</c:v>
                </c:pt>
                <c:pt idx="5">
                  <c:v>1032.8815</c:v>
                </c:pt>
                <c:pt idx="6">
                  <c:v>1047.6780000000001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D0-4978-A049-815D1EAC8ED9}"/>
            </c:ext>
          </c:extLst>
        </c:ser>
        <c:dLbls/>
        <c:axId val="314018048"/>
        <c:axId val="314019840"/>
      </c:areaChart>
      <c:catAx>
        <c:axId val="314018048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019840"/>
        <c:crosses val="autoZero"/>
        <c:auto val="1"/>
        <c:lblAlgn val="ctr"/>
        <c:lblOffset val="100"/>
      </c:catAx>
      <c:valAx>
        <c:axId val="31401984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018048"/>
        <c:crosses val="autoZero"/>
        <c:crossBetween val="midCat"/>
      </c:valAx>
    </c:plotArea>
    <c:plotVisOnly val="1"/>
    <c:dispBlanksAs val="zero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 rot="0" spcFirstLastPara="0" vertOverflow="ellipsis" vert="horz" wrap="square" anchor="ctr" anchorCtr="1"/>
        <a:lstStyle/>
        <a:p>
          <a:pPr>
            <a:defRPr lang="es-MX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252955524111418"/>
          <c:y val="0.40654646430067254"/>
          <c:w val="0.782118847632152"/>
          <c:h val="0.35140857392827729"/>
        </c:manualLayout>
      </c:layout>
      <c:lineChart>
        <c:grouping val="standard"/>
        <c:ser>
          <c:idx val="0"/>
          <c:order val="0"/>
          <c:tx>
            <c:strRef>
              <c:f>'Scrap AMOUNT JAN TO JUL'!$A$38</c:f>
              <c:strCache>
                <c:ptCount val="1"/>
                <c:pt idx="0">
                  <c:v>plant 1  qty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'Scrap AMOUNT JAN TO JUL'!$B$29:$H$29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'Scrap AMOUNT JAN TO JUL'!$B$38:$H$38</c:f>
              <c:numCache>
                <c:formatCode>#,##0.00</c:formatCode>
                <c:ptCount val="7"/>
                <c:pt idx="0">
                  <c:v>640.71550000000002</c:v>
                </c:pt>
                <c:pt idx="1">
                  <c:v>692.79599999999994</c:v>
                </c:pt>
                <c:pt idx="2">
                  <c:v>886.65599999999995</c:v>
                </c:pt>
                <c:pt idx="3">
                  <c:v>853.14800000000002</c:v>
                </c:pt>
                <c:pt idx="4">
                  <c:v>967.673</c:v>
                </c:pt>
                <c:pt idx="5">
                  <c:v>713.29049999999995</c:v>
                </c:pt>
                <c:pt idx="6">
                  <c:v>763.05150000000003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0-4306-96BC-4A66377EBB07}"/>
            </c:ext>
          </c:extLst>
        </c:ser>
        <c:dLbls/>
        <c:marker val="1"/>
        <c:axId val="314322944"/>
        <c:axId val="314324480"/>
      </c:lineChart>
      <c:catAx>
        <c:axId val="314322944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324480"/>
        <c:crosses val="autoZero"/>
        <c:auto val="1"/>
        <c:lblAlgn val="ctr"/>
        <c:lblOffset val="100"/>
      </c:catAx>
      <c:valAx>
        <c:axId val="314324480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322944"/>
        <c:crosses val="autoZero"/>
        <c:crossBetween val="between"/>
      </c:valAx>
    </c:plotArea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plant</a:t>
            </a:r>
            <a:r>
              <a:rPr lang="es-MX" baseline="0"/>
              <a:t> 2 qty</a:t>
            </a:r>
            <a:endParaRPr lang="es-MX"/>
          </a:p>
        </c:rich>
      </c:tx>
    </c:title>
    <c:plotArea>
      <c:layout>
        <c:manualLayout>
          <c:layoutTarget val="inner"/>
          <c:xMode val="edge"/>
          <c:yMode val="edge"/>
          <c:x val="9.8602447120704706E-2"/>
          <c:y val="0.40654646430067254"/>
          <c:w val="0.80911436200067299"/>
          <c:h val="0.35140857392827729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'Scrap AMOUNT JAN TO JUL'!$B$9:$H$9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 </c:v>
                </c:pt>
              </c:strCache>
            </c:strRef>
          </c:cat>
          <c:val>
            <c:numRef>
              <c:f>'Scrap AMOUNT JAN TO JUL'!$B$63:$H$63</c:f>
              <c:numCache>
                <c:formatCode>#,##0.00</c:formatCode>
                <c:ptCount val="7"/>
                <c:pt idx="0">
                  <c:v>52.581000000000003</c:v>
                </c:pt>
                <c:pt idx="1">
                  <c:v>54.43</c:v>
                </c:pt>
                <c:pt idx="2">
                  <c:v>72.670999999999992</c:v>
                </c:pt>
                <c:pt idx="3">
                  <c:v>90.640999999999991</c:v>
                </c:pt>
                <c:pt idx="4">
                  <c:v>77.876999999999995</c:v>
                </c:pt>
                <c:pt idx="5">
                  <c:v>55.088000000000008</c:v>
                </c:pt>
                <c:pt idx="6">
                  <c:v>38.846000000000004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31-449F-8FBC-3BF625BE80AE}"/>
            </c:ext>
          </c:extLst>
        </c:ser>
        <c:dLbls/>
        <c:marker val="1"/>
        <c:axId val="314353152"/>
        <c:axId val="314354688"/>
      </c:lineChart>
      <c:catAx>
        <c:axId val="314353152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354688"/>
        <c:crosses val="autoZero"/>
        <c:auto val="1"/>
        <c:lblAlgn val="ctr"/>
        <c:lblOffset val="100"/>
      </c:catAx>
      <c:valAx>
        <c:axId val="314354688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353152"/>
        <c:crosses val="autoZero"/>
        <c:crossBetween val="between"/>
      </c:valAx>
    </c:plotArea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plant 4  qty</a:t>
            </a:r>
          </a:p>
        </c:rich>
      </c:tx>
    </c:title>
    <c:plotArea>
      <c:layout>
        <c:manualLayout>
          <c:layoutTarget val="inner"/>
          <c:xMode val="edge"/>
          <c:yMode val="edge"/>
          <c:x val="9.8602447120704706E-2"/>
          <c:y val="0.40654646430067254"/>
          <c:w val="0.80911436200067299"/>
          <c:h val="0.35140857392827729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'Scrap AMOUNT JAN TO JUL'!$B$9:$H$9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 </c:v>
                </c:pt>
              </c:strCache>
            </c:strRef>
          </c:cat>
          <c:val>
            <c:numRef>
              <c:f>'Scrap AMOUNT JAN TO JUL'!$B$86:$H$86</c:f>
              <c:numCache>
                <c:formatCode>#,##0.00</c:formatCode>
                <c:ptCount val="7"/>
                <c:pt idx="0">
                  <c:v>243.089</c:v>
                </c:pt>
                <c:pt idx="1">
                  <c:v>203.31200000000001</c:v>
                </c:pt>
                <c:pt idx="2">
                  <c:v>284.64599999999996</c:v>
                </c:pt>
                <c:pt idx="3">
                  <c:v>328.40999999999997</c:v>
                </c:pt>
                <c:pt idx="4">
                  <c:v>288.267</c:v>
                </c:pt>
                <c:pt idx="5">
                  <c:v>264.50299999999999</c:v>
                </c:pt>
                <c:pt idx="6">
                  <c:v>245.78050000000002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39-41EE-87EF-8B4B5C15469F}"/>
            </c:ext>
          </c:extLst>
        </c:ser>
        <c:dLbls/>
        <c:marker val="1"/>
        <c:axId val="314375168"/>
        <c:axId val="314381056"/>
      </c:lineChart>
      <c:catAx>
        <c:axId val="314375168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381056"/>
        <c:crosses val="autoZero"/>
        <c:auto val="1"/>
        <c:lblAlgn val="ctr"/>
        <c:lblOffset val="100"/>
      </c:catAx>
      <c:valAx>
        <c:axId val="314381056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375168"/>
        <c:crosses val="autoZero"/>
        <c:crossBetween val="between"/>
      </c:valAx>
    </c:plotArea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'Graphics Scrap'!$B$5</c:f>
              <c:strCache>
                <c:ptCount val="1"/>
                <c:pt idx="0">
                  <c:v>total input </c:v>
                </c:pt>
              </c:strCache>
            </c:strRef>
          </c:tx>
          <c:marker>
            <c:symbol val="none"/>
          </c:marker>
          <c:cat>
            <c:strRef>
              <c:f>'Graphics Scrap'!$C$4:$N$4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Scrap'!$C$5:$N$5</c:f>
              <c:numCache>
                <c:formatCode>#,##0.00</c:formatCode>
                <c:ptCount val="12"/>
                <c:pt idx="0">
                  <c:v>1897.17</c:v>
                </c:pt>
                <c:pt idx="1">
                  <c:v>2181.0045725533</c:v>
                </c:pt>
                <c:pt idx="2">
                  <c:v>2916.1210000000001</c:v>
                </c:pt>
                <c:pt idx="3">
                  <c:v>2504.322540616</c:v>
                </c:pt>
                <c:pt idx="4">
                  <c:v>2198.1116717899999</c:v>
                </c:pt>
                <c:pt idx="5">
                  <c:v>2408.9426002520004</c:v>
                </c:pt>
                <c:pt idx="6">
                  <c:v>4795.1760246849999</c:v>
                </c:pt>
                <c:pt idx="7">
                  <c:v>5879.2662192686003</c:v>
                </c:pt>
                <c:pt idx="8">
                  <c:v>2357.8457395189998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5-44E1-9EEA-C7F84E6CE919}"/>
            </c:ext>
          </c:extLst>
        </c:ser>
        <c:ser>
          <c:idx val="1"/>
          <c:order val="1"/>
          <c:tx>
            <c:strRef>
              <c:f>'Graphics Scrap'!$B$6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Scrap'!$C$6:$N$6</c:f>
              <c:numCache>
                <c:formatCode>#,##0.00</c:formatCode>
                <c:ptCount val="12"/>
                <c:pt idx="0">
                  <c:v>714.25450000000001</c:v>
                </c:pt>
                <c:pt idx="1">
                  <c:v>751.71600000000001</c:v>
                </c:pt>
                <c:pt idx="2">
                  <c:v>984.58399999999995</c:v>
                </c:pt>
                <c:pt idx="3">
                  <c:v>964.95500000000004</c:v>
                </c:pt>
                <c:pt idx="4">
                  <c:v>1045.55</c:v>
                </c:pt>
                <c:pt idx="5">
                  <c:v>780.51149999999996</c:v>
                </c:pt>
                <c:pt idx="6">
                  <c:v>1047.6780000000001</c:v>
                </c:pt>
                <c:pt idx="7">
                  <c:v>1277.788</c:v>
                </c:pt>
                <c:pt idx="8">
                  <c:v>556.92599999999993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15-44E1-9EEA-C7F84E6CE919}"/>
            </c:ext>
          </c:extLst>
        </c:ser>
        <c:dLbls/>
        <c:marker val="1"/>
        <c:axId val="314458880"/>
        <c:axId val="314460416"/>
      </c:lineChart>
      <c:catAx>
        <c:axId val="314458880"/>
        <c:scaling>
          <c:orientation val="minMax"/>
        </c:scaling>
        <c:axPos val="b"/>
        <c:numFmt formatCode="General" sourceLinked="0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460416"/>
        <c:crosses val="autoZero"/>
        <c:auto val="1"/>
        <c:lblAlgn val="ctr"/>
        <c:lblOffset val="100"/>
      </c:catAx>
      <c:valAx>
        <c:axId val="314460416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458880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'Graphics Scrap'!$B$22</c:f>
              <c:strCache>
                <c:ptCount val="1"/>
                <c:pt idx="0">
                  <c:v> input-1 </c:v>
                </c:pt>
              </c:strCache>
            </c:strRef>
          </c:tx>
          <c:marker>
            <c:symbol val="none"/>
          </c:marker>
          <c:cat>
            <c:strRef>
              <c:f>'Graphics Scrap'!$C$21:$N$21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Scrap'!$C$22:$N$22</c:f>
              <c:numCache>
                <c:formatCode>#,##0.00</c:formatCode>
                <c:ptCount val="12"/>
                <c:pt idx="0">
                  <c:v>1490.8219999999999</c:v>
                </c:pt>
                <c:pt idx="1">
                  <c:v>1955.3209999999999</c:v>
                </c:pt>
                <c:pt idx="2">
                  <c:v>2599.3069999999998</c:v>
                </c:pt>
                <c:pt idx="3">
                  <c:v>2180.6370000000002</c:v>
                </c:pt>
                <c:pt idx="4">
                  <c:v>1992.777</c:v>
                </c:pt>
                <c:pt idx="5">
                  <c:v>2181.8560000000002</c:v>
                </c:pt>
                <c:pt idx="6">
                  <c:v>2519.569</c:v>
                </c:pt>
                <c:pt idx="7">
                  <c:v>2905.91</c:v>
                </c:pt>
                <c:pt idx="8">
                  <c:v>1235.346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8-419F-BE2F-867106D4F806}"/>
            </c:ext>
          </c:extLst>
        </c:ser>
        <c:ser>
          <c:idx val="1"/>
          <c:order val="1"/>
          <c:tx>
            <c:strRef>
              <c:f>'Graphics Scrap'!$B$23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Scrap'!$C$23:$N$23</c:f>
              <c:numCache>
                <c:formatCode>#,##0.00</c:formatCode>
                <c:ptCount val="12"/>
                <c:pt idx="0">
                  <c:v>640.71550000000002</c:v>
                </c:pt>
                <c:pt idx="1">
                  <c:v>692.79600000000005</c:v>
                </c:pt>
                <c:pt idx="2">
                  <c:v>886.65599999999995</c:v>
                </c:pt>
                <c:pt idx="3">
                  <c:v>853.14800000000002</c:v>
                </c:pt>
                <c:pt idx="4">
                  <c:v>967.673</c:v>
                </c:pt>
                <c:pt idx="5">
                  <c:v>713.29049999999995</c:v>
                </c:pt>
                <c:pt idx="6">
                  <c:v>763.05150000000003</c:v>
                </c:pt>
                <c:pt idx="7">
                  <c:v>964.20600000000002</c:v>
                </c:pt>
                <c:pt idx="8">
                  <c:v>404.28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8-419F-BE2F-867106D4F806}"/>
            </c:ext>
          </c:extLst>
        </c:ser>
        <c:dLbls/>
        <c:marker val="1"/>
        <c:axId val="314499072"/>
        <c:axId val="314500608"/>
      </c:lineChart>
      <c:catAx>
        <c:axId val="314499072"/>
        <c:scaling>
          <c:orientation val="minMax"/>
        </c:scaling>
        <c:axPos val="b"/>
        <c:numFmt formatCode="General" sourceLinked="0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00608"/>
        <c:crosses val="autoZero"/>
        <c:auto val="1"/>
        <c:lblAlgn val="ctr"/>
        <c:lblOffset val="100"/>
      </c:catAx>
      <c:valAx>
        <c:axId val="314500608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499072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'Graphics Scrap'!$B$39</c:f>
              <c:strCache>
                <c:ptCount val="1"/>
                <c:pt idx="0">
                  <c:v>input-1 </c:v>
                </c:pt>
              </c:strCache>
            </c:strRef>
          </c:tx>
          <c:marker>
            <c:symbol val="none"/>
          </c:marker>
          <c:cat>
            <c:strRef>
              <c:f>'Graphics Scrap'!$C$38:$N$38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Scrap'!$C$39:$N$39</c:f>
              <c:numCache>
                <c:formatCode>#,##0.00</c:formatCode>
                <c:ptCount val="12"/>
                <c:pt idx="0">
                  <c:v>267.13200000000001</c:v>
                </c:pt>
                <c:pt idx="1">
                  <c:v>169.74557255330001</c:v>
                </c:pt>
                <c:pt idx="2">
                  <c:v>226.51900000000001</c:v>
                </c:pt>
                <c:pt idx="3">
                  <c:v>235.53254061600001</c:v>
                </c:pt>
                <c:pt idx="4">
                  <c:v>205.33467178999999</c:v>
                </c:pt>
                <c:pt idx="5">
                  <c:v>227.08660025200001</c:v>
                </c:pt>
                <c:pt idx="6">
                  <c:v>182.108024685</c:v>
                </c:pt>
                <c:pt idx="7">
                  <c:v>307.0772192686</c:v>
                </c:pt>
                <c:pt idx="8">
                  <c:v>161.06073951900001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FA-45CD-89F5-02EC746F8D05}"/>
            </c:ext>
          </c:extLst>
        </c:ser>
        <c:ser>
          <c:idx val="1"/>
          <c:order val="1"/>
          <c:tx>
            <c:strRef>
              <c:f>'Graphics Scrap'!$B$40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Scrap'!$C$38:$N$38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Scrap'!$C$40:$N$40</c:f>
              <c:numCache>
                <c:formatCode>#,##0.00</c:formatCode>
                <c:ptCount val="12"/>
                <c:pt idx="0">
                  <c:v>52.581000000000003</c:v>
                </c:pt>
                <c:pt idx="1">
                  <c:v>54.43</c:v>
                </c:pt>
                <c:pt idx="2">
                  <c:v>72.671000000000006</c:v>
                </c:pt>
                <c:pt idx="3">
                  <c:v>90.641000000000005</c:v>
                </c:pt>
                <c:pt idx="4">
                  <c:v>77.876999999999995</c:v>
                </c:pt>
                <c:pt idx="5">
                  <c:v>55.088000000000001</c:v>
                </c:pt>
                <c:pt idx="6">
                  <c:v>38.845999999999997</c:v>
                </c:pt>
                <c:pt idx="7">
                  <c:v>61.162999999999997</c:v>
                </c:pt>
                <c:pt idx="8">
                  <c:v>39.811999999999998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FA-45CD-89F5-02EC746F8D05}"/>
            </c:ext>
          </c:extLst>
        </c:ser>
        <c:dLbls/>
        <c:marker val="1"/>
        <c:axId val="343153664"/>
        <c:axId val="130687744"/>
      </c:lineChart>
      <c:catAx>
        <c:axId val="343153664"/>
        <c:scaling>
          <c:orientation val="minMax"/>
        </c:scaling>
        <c:axPos val="b"/>
        <c:numFmt formatCode="General" sourceLinked="0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87744"/>
        <c:crosses val="autoZero"/>
        <c:auto val="1"/>
        <c:lblAlgn val="ctr"/>
        <c:lblOffset val="100"/>
      </c:catAx>
      <c:valAx>
        <c:axId val="130687744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153664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'Graphics Scrap'!$B$55</c:f>
              <c:strCache>
                <c:ptCount val="1"/>
                <c:pt idx="0">
                  <c:v> input-1 </c:v>
                </c:pt>
              </c:strCache>
            </c:strRef>
          </c:tx>
          <c:marker>
            <c:symbol val="none"/>
          </c:marker>
          <c:cat>
            <c:strRef>
              <c:f>'Graphics Scrap'!$C$54:$N$54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Scrap'!$C$55:$N$55</c:f>
              <c:numCache>
                <c:formatCode>#,##0.00</c:formatCode>
                <c:ptCount val="12"/>
                <c:pt idx="0">
                  <c:v>139.21600000000001</c:v>
                </c:pt>
                <c:pt idx="1">
                  <c:v>55.938000000000002</c:v>
                </c:pt>
                <c:pt idx="2">
                  <c:v>90.295000000000002</c:v>
                </c:pt>
                <c:pt idx="3">
                  <c:v>88.153000000000006</c:v>
                </c:pt>
                <c:pt idx="4">
                  <c:v>0</c:v>
                </c:pt>
                <c:pt idx="5">
                  <c:v>0</c:v>
                </c:pt>
                <c:pt idx="6">
                  <c:v>2093.4989999999998</c:v>
                </c:pt>
                <c:pt idx="7">
                  <c:v>2666.279</c:v>
                </c:pt>
                <c:pt idx="8">
                  <c:v>961.43899999999996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29-4044-A243-C735D66CCC17}"/>
            </c:ext>
          </c:extLst>
        </c:ser>
        <c:ser>
          <c:idx val="1"/>
          <c:order val="1"/>
          <c:tx>
            <c:strRef>
              <c:f>'Graphics Scrap'!$B$56</c:f>
              <c:strCache>
                <c:ptCount val="1"/>
                <c:pt idx="0">
                  <c:v>scrap qty</c:v>
                </c:pt>
              </c:strCache>
            </c:strRef>
          </c:tx>
          <c:marker>
            <c:symbol val="none"/>
          </c:marker>
          <c:cat>
            <c:strRef>
              <c:f>'Graphics Scrap'!$C$54:$N$54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Scrap'!$C$56:$N$56</c:f>
              <c:numCache>
                <c:formatCode>#,##0.00</c:formatCode>
                <c:ptCount val="12"/>
                <c:pt idx="0">
                  <c:v>20.957999999999998</c:v>
                </c:pt>
                <c:pt idx="1">
                  <c:v>4.49</c:v>
                </c:pt>
                <c:pt idx="2">
                  <c:v>25.257000000000001</c:v>
                </c:pt>
                <c:pt idx="3">
                  <c:v>21.166</c:v>
                </c:pt>
                <c:pt idx="4">
                  <c:v>0</c:v>
                </c:pt>
                <c:pt idx="5">
                  <c:v>12.132999999999999</c:v>
                </c:pt>
                <c:pt idx="6">
                  <c:v>245.78049999999999</c:v>
                </c:pt>
                <c:pt idx="7">
                  <c:v>252.41900000000001</c:v>
                </c:pt>
                <c:pt idx="8">
                  <c:v>112.834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29-4044-A243-C735D66CCC17}"/>
            </c:ext>
          </c:extLst>
        </c:ser>
        <c:dLbls/>
        <c:marker val="1"/>
        <c:axId val="130722048"/>
        <c:axId val="130732032"/>
      </c:lineChart>
      <c:catAx>
        <c:axId val="130722048"/>
        <c:scaling>
          <c:orientation val="minMax"/>
        </c:scaling>
        <c:axPos val="b"/>
        <c:numFmt formatCode="General" sourceLinked="0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32032"/>
        <c:crosses val="autoZero"/>
        <c:auto val="1"/>
        <c:lblAlgn val="ctr"/>
        <c:lblOffset val="100"/>
      </c:catAx>
      <c:valAx>
        <c:axId val="130732032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722048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s-MX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4261592300963264E-2"/>
          <c:y val="9.7222222222222224E-2"/>
          <c:w val="0.87129396325460062"/>
          <c:h val="0.73577136191310477"/>
        </c:manualLayout>
      </c:layout>
      <c:lineChart>
        <c:grouping val="standard"/>
        <c:ser>
          <c:idx val="0"/>
          <c:order val="0"/>
          <c:tx>
            <c:strRef>
              <c:f>'Graphics Scrap'!$B$77</c:f>
              <c:strCache>
                <c:ptCount val="1"/>
                <c:pt idx="0">
                  <c:v>scrap qty 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'Graphics Scrap'!$C$76:$N$76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Scrap'!$C$77:$N$77</c:f>
              <c:numCache>
                <c:formatCode>#,##0</c:formatCode>
                <c:ptCount val="12"/>
                <c:pt idx="0">
                  <c:v>1022.1049999999999</c:v>
                </c:pt>
                <c:pt idx="1">
                  <c:v>1039.2318</c:v>
                </c:pt>
                <c:pt idx="2">
                  <c:v>1260.2484999999999</c:v>
                </c:pt>
                <c:pt idx="3">
                  <c:v>1214.0825</c:v>
                </c:pt>
                <c:pt idx="4">
                  <c:v>1141.4704999999999</c:v>
                </c:pt>
                <c:pt idx="5">
                  <c:v>1112.26685</c:v>
                </c:pt>
                <c:pt idx="6">
                  <c:v>1403.4295000000002</c:v>
                </c:pt>
                <c:pt idx="7" formatCode="#,##0.00">
                  <c:v>1468.7565</c:v>
                </c:pt>
                <c:pt idx="8" formatCode="#,##0.00">
                  <c:v>1457.6268</c:v>
                </c:pt>
                <c:pt idx="9" formatCode="#,##0.00">
                  <c:v>1965.3009999999999</c:v>
                </c:pt>
                <c:pt idx="10" formatCode="#,##0.00">
                  <c:v>1355.3690000000001</c:v>
                </c:pt>
                <c:pt idx="11" formatCode="#,##0.00">
                  <c:v>839.34500000000003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A4-421E-BF03-7EBF47CB643E}"/>
            </c:ext>
          </c:extLst>
        </c:ser>
        <c:ser>
          <c:idx val="1"/>
          <c:order val="1"/>
          <c:tx>
            <c:strRef>
              <c:f>'Graphics Scrap'!$B$78</c:f>
              <c:strCache>
                <c:ptCount val="1"/>
                <c:pt idx="0">
                  <c:v>scrap qty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'Graphics Scrap'!$C$76:$N$76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Scrap'!$C$78:$N$78</c:f>
              <c:numCache>
                <c:formatCode>0</c:formatCode>
                <c:ptCount val="12"/>
                <c:pt idx="0">
                  <c:v>1071</c:v>
                </c:pt>
                <c:pt idx="1">
                  <c:v>1144</c:v>
                </c:pt>
                <c:pt idx="2">
                  <c:v>1339</c:v>
                </c:pt>
                <c:pt idx="3">
                  <c:v>1118</c:v>
                </c:pt>
                <c:pt idx="4">
                  <c:v>1031</c:v>
                </c:pt>
                <c:pt idx="5">
                  <c:v>1523</c:v>
                </c:pt>
                <c:pt idx="6">
                  <c:v>1901</c:v>
                </c:pt>
                <c:pt idx="7">
                  <c:v>1920</c:v>
                </c:pt>
                <c:pt idx="8">
                  <c:v>2195</c:v>
                </c:pt>
                <c:pt idx="9">
                  <c:v>2213</c:v>
                </c:pt>
                <c:pt idx="10">
                  <c:v>1516</c:v>
                </c:pt>
                <c:pt idx="11">
                  <c:v>1375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A4-421E-BF03-7EBF47CB643E}"/>
            </c:ext>
          </c:extLst>
        </c:ser>
        <c:ser>
          <c:idx val="2"/>
          <c:order val="2"/>
          <c:tx>
            <c:strRef>
              <c:f>'Graphics Scrap'!$B$79</c:f>
              <c:strCache>
                <c:ptCount val="1"/>
                <c:pt idx="0">
                  <c:v>scrap qty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'Graphics Scrap'!$C$76:$N$76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'Graphics Scrap'!$C$79:$N$79</c:f>
              <c:numCache>
                <c:formatCode>0</c:formatCode>
                <c:ptCount val="12"/>
                <c:pt idx="0">
                  <c:v>977.37</c:v>
                </c:pt>
                <c:pt idx="1">
                  <c:v>819.09299999999996</c:v>
                </c:pt>
                <c:pt idx="2">
                  <c:v>838.44399999999996</c:v>
                </c:pt>
                <c:pt idx="3">
                  <c:v>978.22799999999995</c:v>
                </c:pt>
                <c:pt idx="4">
                  <c:v>1230.1645000000001</c:v>
                </c:pt>
                <c:pt idx="5">
                  <c:v>986.755</c:v>
                </c:pt>
                <c:pt idx="6">
                  <c:v>1253.2619999999999</c:v>
                </c:pt>
                <c:pt idx="7">
                  <c:v>1412.9179999999999</c:v>
                </c:pt>
                <c:pt idx="8">
                  <c:v>1565.492</c:v>
                </c:pt>
                <c:pt idx="9">
                  <c:v>1578.662</c:v>
                </c:pt>
                <c:pt idx="10">
                  <c:v>1297.4549999999999</c:v>
                </c:pt>
                <c:pt idx="11">
                  <c:v>1084.462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A4-421E-BF03-7EBF47CB643E}"/>
            </c:ext>
          </c:extLst>
        </c:ser>
        <c:dLbls/>
        <c:marker val="1"/>
        <c:axId val="307518848"/>
        <c:axId val="307541120"/>
      </c:lineChart>
      <c:catAx>
        <c:axId val="3075188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541120"/>
        <c:crosses val="autoZero"/>
        <c:auto val="1"/>
        <c:lblAlgn val="ctr"/>
        <c:lblOffset val="100"/>
      </c:catAx>
      <c:valAx>
        <c:axId val="3075411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QUANTITY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9.7350652717996505E-2"/>
          <c:y val="0.22158687383328388"/>
          <c:w val="0.86847016056824899"/>
          <c:h val="0.63544233441410314"/>
        </c:manualLayout>
      </c:layout>
      <c:areaChart>
        <c:grouping val="stacked"/>
        <c:ser>
          <c:idx val="0"/>
          <c:order val="0"/>
          <c:tx>
            <c:strRef>
              <c:f>'Scrap AMOUNT'!$A$10</c:f>
              <c:strCache>
                <c:ptCount val="1"/>
                <c:pt idx="0">
                  <c:v>Q'ty (mton)</c:v>
                </c:pt>
              </c:strCache>
            </c:strRef>
          </c:tx>
          <c:spPr>
            <a:solidFill>
              <a:srgbClr val="FFFF00"/>
            </a:solidFill>
          </c:spPr>
          <c:dLbls>
            <c:dLbl>
              <c:idx val="0"/>
              <c:layout>
                <c:manualLayout>
                  <c:x val="3.0303024277613912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FD-44AE-918B-CFCBA0A9C6DB}"/>
                </c:ext>
              </c:extLst>
            </c:dLbl>
            <c:dLbl>
              <c:idx val="4"/>
              <c:layout>
                <c:manualLayout>
                  <c:x val="-3.2828276300748402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FD-44AE-918B-CFCBA0A9C6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'Scrap AMOUNT'!$B$9:$M$9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'Scrap AMOUNT'!$B$10:$M$10</c:f>
              <c:numCache>
                <c:formatCode>_(* #,##0.00_);_(* \(#,##0.00\);_(* "-"??_);_(@_)</c:formatCode>
                <c:ptCount val="12"/>
                <c:pt idx="0">
                  <c:v>936.38550000000009</c:v>
                </c:pt>
                <c:pt idx="1">
                  <c:v>950.5379999999999</c:v>
                </c:pt>
                <c:pt idx="2">
                  <c:v>1243.973</c:v>
                </c:pt>
                <c:pt idx="3">
                  <c:v>1272.1990000000001</c:v>
                </c:pt>
                <c:pt idx="4">
                  <c:v>1333.817</c:v>
                </c:pt>
                <c:pt idx="5">
                  <c:v>1032.8815</c:v>
                </c:pt>
                <c:pt idx="6">
                  <c:v>1047.6780000000001</c:v>
                </c:pt>
                <c:pt idx="7">
                  <c:v>1277.788</c:v>
                </c:pt>
                <c:pt idx="8">
                  <c:v>741.75900000000001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FD-44AE-918B-CFCBA0A9C6DB}"/>
            </c:ext>
          </c:extLst>
        </c:ser>
        <c:dLbls/>
        <c:axId val="313858304"/>
        <c:axId val="313872384"/>
      </c:areaChart>
      <c:catAx>
        <c:axId val="313858304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872384"/>
        <c:crosses val="autoZero"/>
        <c:auto val="1"/>
        <c:lblAlgn val="ctr"/>
        <c:lblOffset val="100"/>
      </c:catAx>
      <c:valAx>
        <c:axId val="31387238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858304"/>
        <c:crosses val="autoZero"/>
        <c:crossBetween val="midCat"/>
      </c:valAx>
    </c:plotArea>
    <c:plotVisOnly val="1"/>
    <c:dispBlanksAs val="zero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 rot="0" spcFirstLastPara="0" vertOverflow="ellipsis" vert="horz" wrap="square" anchor="ctr" anchorCtr="1"/>
        <a:lstStyle/>
        <a:p>
          <a:pPr>
            <a:defRPr lang="es-MX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2252955524111418"/>
          <c:y val="0.40654646430067254"/>
          <c:w val="0.782118847632152"/>
          <c:h val="0.35140857392827729"/>
        </c:manualLayout>
      </c:layout>
      <c:lineChart>
        <c:grouping val="standard"/>
        <c:ser>
          <c:idx val="0"/>
          <c:order val="0"/>
          <c:tx>
            <c:strRef>
              <c:f>'Scrap AMOUNT'!$A$38</c:f>
              <c:strCache>
                <c:ptCount val="1"/>
                <c:pt idx="0">
                  <c:v>plant 1  qty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'Scrap AMOUNT'!$B$29:$M$29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'Scrap AMOUNT'!$B$38:$M$38</c:f>
              <c:numCache>
                <c:formatCode>#,##0.00</c:formatCode>
                <c:ptCount val="12"/>
                <c:pt idx="0">
                  <c:v>640.71550000000002</c:v>
                </c:pt>
                <c:pt idx="1">
                  <c:v>692.79599999999994</c:v>
                </c:pt>
                <c:pt idx="2">
                  <c:v>886.65599999999995</c:v>
                </c:pt>
                <c:pt idx="3">
                  <c:v>853.14800000000002</c:v>
                </c:pt>
                <c:pt idx="4">
                  <c:v>967.673</c:v>
                </c:pt>
                <c:pt idx="5">
                  <c:v>713.29049999999995</c:v>
                </c:pt>
                <c:pt idx="6">
                  <c:v>763.05150000000003</c:v>
                </c:pt>
                <c:pt idx="7">
                  <c:v>964.20600000000002</c:v>
                </c:pt>
                <c:pt idx="8">
                  <c:v>555.73099999999999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A7-4559-A0D8-281499C0FE50}"/>
            </c:ext>
          </c:extLst>
        </c:ser>
        <c:dLbls/>
        <c:marker val="1"/>
        <c:axId val="313909248"/>
        <c:axId val="313910784"/>
      </c:lineChart>
      <c:catAx>
        <c:axId val="313909248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10784"/>
        <c:crosses val="autoZero"/>
        <c:auto val="1"/>
        <c:lblAlgn val="ctr"/>
        <c:lblOffset val="100"/>
      </c:catAx>
      <c:valAx>
        <c:axId val="313910784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09248"/>
        <c:crosses val="autoZero"/>
        <c:crossBetween val="between"/>
      </c:valAx>
    </c:plotArea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0" vertOverflow="ellipsis" vert="horz" wrap="square" anchor="ctr" anchorCtr="1"/>
          <a:lstStyle/>
          <a:p>
            <a:pPr>
              <a:defRPr lang="es-MX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plant</a:t>
            </a:r>
            <a:r>
              <a:rPr lang="es-MX" baseline="0"/>
              <a:t> 2 qty</a:t>
            </a:r>
            <a:endParaRPr lang="es-MX"/>
          </a:p>
        </c:rich>
      </c:tx>
    </c:title>
    <c:plotArea>
      <c:layout>
        <c:manualLayout>
          <c:layoutTarget val="inner"/>
          <c:xMode val="edge"/>
          <c:yMode val="edge"/>
          <c:x val="9.8602447120704706E-2"/>
          <c:y val="0.40654646430067254"/>
          <c:w val="0.80911436200067299"/>
          <c:h val="0.35140857392827729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'Scrap AMOUNT'!$B$9:$M$9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Agu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'Scrap AMOUNT'!$B$63:$M$63</c:f>
              <c:numCache>
                <c:formatCode>#,##0.00</c:formatCode>
                <c:ptCount val="12"/>
                <c:pt idx="0">
                  <c:v>52.581000000000003</c:v>
                </c:pt>
                <c:pt idx="1">
                  <c:v>54.43</c:v>
                </c:pt>
                <c:pt idx="2">
                  <c:v>72.670999999999992</c:v>
                </c:pt>
                <c:pt idx="3">
                  <c:v>90.640999999999991</c:v>
                </c:pt>
                <c:pt idx="4">
                  <c:v>77.876999999999995</c:v>
                </c:pt>
                <c:pt idx="5">
                  <c:v>55.088000000000008</c:v>
                </c:pt>
                <c:pt idx="6">
                  <c:v>38.846000000000004</c:v>
                </c:pt>
                <c:pt idx="7">
                  <c:v>61.163000000000004</c:v>
                </c:pt>
                <c:pt idx="8">
                  <c:v>39.811999999999998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91-47F9-A606-683B502DFAC0}"/>
            </c:ext>
          </c:extLst>
        </c:ser>
        <c:dLbls/>
        <c:marker val="1"/>
        <c:axId val="313673216"/>
        <c:axId val="313674752"/>
      </c:lineChart>
      <c:catAx>
        <c:axId val="313673216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674752"/>
        <c:crosses val="autoZero"/>
        <c:auto val="1"/>
        <c:lblAlgn val="ctr"/>
        <c:lblOffset val="100"/>
      </c:catAx>
      <c:valAx>
        <c:axId val="313674752"/>
        <c:scaling>
          <c:orientation val="minMax"/>
        </c:scaling>
        <c:axPos val="l"/>
        <c:majorGridlines/>
        <c:numFmt formatCode="#,##0.00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673216"/>
        <c:crosses val="autoZero"/>
        <c:crossBetween val="between"/>
      </c:valAx>
    </c:plotArea>
    <c:plotVisOnly val="1"/>
    <c:dispBlanksAs val="gap"/>
  </c:chart>
  <c:txPr>
    <a:bodyPr/>
    <a:lstStyle/>
    <a:p>
      <a:pPr>
        <a:defRPr lang="es-MX"/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9525</xdr:rowOff>
    </xdr:from>
    <xdr:to>
      <xdr:col>14</xdr:col>
      <xdr:colOff>28575</xdr:colOff>
      <xdr:row>50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190499</xdr:rowOff>
    </xdr:from>
    <xdr:to>
      <xdr:col>6</xdr:col>
      <xdr:colOff>409575</xdr:colOff>
      <xdr:row>16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6</xdr:col>
      <xdr:colOff>138113</xdr:colOff>
      <xdr:row>33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6</xdr:col>
      <xdr:colOff>128588</xdr:colOff>
      <xdr:row>50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6</xdr:col>
      <xdr:colOff>138113</xdr:colOff>
      <xdr:row>66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9525</xdr:colOff>
      <xdr:row>84</xdr:row>
      <xdr:rowOff>23812</xdr:rowOff>
    </xdr:from>
    <xdr:to>
      <xdr:col>9</xdr:col>
      <xdr:colOff>733425</xdr:colOff>
      <xdr:row>98</xdr:row>
      <xdr:rowOff>100012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6AE095C3-D3DD-4801-92E4-42427B832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529169</xdr:colOff>
      <xdr:row>13</xdr:row>
      <xdr:rowOff>0</xdr:rowOff>
    </xdr:from>
    <xdr:to>
      <xdr:col>13</xdr:col>
      <xdr:colOff>433918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581024</xdr:colOff>
      <xdr:row>39</xdr:row>
      <xdr:rowOff>190499</xdr:rowOff>
    </xdr:from>
    <xdr:to>
      <xdr:col>12</xdr:col>
      <xdr:colOff>0</xdr:colOff>
      <xdr:row>47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12</xdr:col>
      <xdr:colOff>10583</xdr:colOff>
      <xdr:row>74</xdr:row>
      <xdr:rowOff>116418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656166</xdr:colOff>
      <xdr:row>88</xdr:row>
      <xdr:rowOff>0</xdr:rowOff>
    </xdr:from>
    <xdr:to>
      <xdr:col>12</xdr:col>
      <xdr:colOff>10582</xdr:colOff>
      <xdr:row>97</xdr:row>
      <xdr:rowOff>10583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529169</xdr:colOff>
      <xdr:row>13</xdr:row>
      <xdr:rowOff>0</xdr:rowOff>
    </xdr:from>
    <xdr:to>
      <xdr:col>8</xdr:col>
      <xdr:colOff>433918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D04B2BC-19C4-4644-88AE-F0A590287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581024</xdr:colOff>
      <xdr:row>39</xdr:row>
      <xdr:rowOff>190499</xdr:rowOff>
    </xdr:from>
    <xdr:to>
      <xdr:col>8</xdr:col>
      <xdr:colOff>0</xdr:colOff>
      <xdr:row>47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DB22E93-CA50-42C1-A77D-0E45AB4FF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8</xdr:col>
      <xdr:colOff>0</xdr:colOff>
      <xdr:row>74</xdr:row>
      <xdr:rowOff>116418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79505650-A619-4902-AF27-5710768BE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656166</xdr:colOff>
      <xdr:row>88</xdr:row>
      <xdr:rowOff>0</xdr:rowOff>
    </xdr:from>
    <xdr:to>
      <xdr:col>8</xdr:col>
      <xdr:colOff>0</xdr:colOff>
      <xdr:row>97</xdr:row>
      <xdr:rowOff>10583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264F324C-93CD-4FA0-9054-47F5643D8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24"/>
  <sheetViews>
    <sheetView showGridLines="0" tabSelected="1" topLeftCell="A71" zoomScale="90" zoomScaleNormal="90" workbookViewId="0">
      <pane xSplit="1" topLeftCell="I1" activePane="topRight" state="frozen"/>
      <selection pane="topRight" activeCell="O85" sqref="O85"/>
    </sheetView>
  </sheetViews>
  <sheetFormatPr defaultColWidth="9.140625" defaultRowHeight="15"/>
  <cols>
    <col min="1" max="1" width="23.85546875" bestFit="1" customWidth="1"/>
    <col min="2" max="5" width="9.5703125" customWidth="1"/>
    <col min="6" max="6" width="13.28515625" customWidth="1"/>
    <col min="7" max="8" width="9.5703125" customWidth="1"/>
    <col min="9" max="10" width="12" customWidth="1"/>
    <col min="11" max="16" width="10" customWidth="1"/>
    <col min="17" max="17" width="10.140625" customWidth="1"/>
    <col min="18" max="18" width="9.28515625" customWidth="1"/>
    <col min="19" max="19" width="9.42578125" customWidth="1"/>
    <col min="20" max="20" width="10.140625" customWidth="1"/>
    <col min="21" max="21" width="9.28515625" customWidth="1"/>
    <col min="22" max="22" width="9.7109375" customWidth="1"/>
    <col min="23" max="23" width="9.28515625" customWidth="1"/>
    <col min="24" max="24" width="9.140625" customWidth="1"/>
    <col min="25" max="25" width="10.140625" customWidth="1"/>
    <col min="26" max="32" width="9.5703125" customWidth="1"/>
    <col min="33" max="33" width="10.140625" customWidth="1"/>
    <col min="34" max="34" width="9.5703125" customWidth="1"/>
    <col min="35" max="39" width="9.28515625" customWidth="1"/>
    <col min="40" max="40" width="10.5703125" customWidth="1"/>
    <col min="41" max="41" width="10.7109375" customWidth="1"/>
    <col min="42" max="42" width="13.140625" customWidth="1"/>
    <col min="43" max="43" width="14.5703125" customWidth="1"/>
    <col min="44" max="44" width="13" customWidth="1"/>
    <col min="45" max="45" width="11.140625" bestFit="1" customWidth="1"/>
    <col min="46" max="46" width="11.7109375"/>
  </cols>
  <sheetData>
    <row r="1" spans="1:52">
      <c r="A1" s="299" t="s">
        <v>167</v>
      </c>
      <c r="D1">
        <f>18*170</f>
        <v>3060</v>
      </c>
      <c r="E1">
        <f>7000/175</f>
        <v>40</v>
      </c>
      <c r="F1">
        <f>2000/175</f>
        <v>11.428571428571429</v>
      </c>
      <c r="I1" s="151"/>
      <c r="Q1" s="151"/>
      <c r="Y1" s="151"/>
      <c r="AG1" s="151"/>
      <c r="AP1" s="151"/>
    </row>
    <row r="2" spans="1:52">
      <c r="A2" s="299" t="s">
        <v>0</v>
      </c>
      <c r="I2" s="151"/>
      <c r="Q2" s="151"/>
      <c r="Y2" s="151"/>
      <c r="AG2" s="151"/>
      <c r="AP2" s="151"/>
    </row>
    <row r="3" spans="1:52">
      <c r="A3" s="151"/>
      <c r="I3" s="151"/>
      <c r="Q3" s="151"/>
      <c r="Y3" s="151"/>
      <c r="AG3" s="151"/>
      <c r="AP3" s="151"/>
    </row>
    <row r="4" spans="1:52" ht="15.75" thickBot="1">
      <c r="A4" s="304" t="s">
        <v>1</v>
      </c>
      <c r="B4" s="163" t="s">
        <v>3</v>
      </c>
      <c r="C4" s="163" t="s">
        <v>4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2</v>
      </c>
      <c r="I4" s="163"/>
      <c r="J4" s="163" t="s">
        <v>3</v>
      </c>
      <c r="K4" s="163" t="s">
        <v>4</v>
      </c>
      <c r="L4" s="163" t="s">
        <v>4</v>
      </c>
      <c r="M4" s="163" t="s">
        <v>5</v>
      </c>
      <c r="N4" s="163" t="s">
        <v>6</v>
      </c>
      <c r="O4" s="163" t="s">
        <v>7</v>
      </c>
      <c r="P4" s="163" t="s">
        <v>2</v>
      </c>
      <c r="Q4" s="163"/>
      <c r="R4" s="163" t="s">
        <v>3</v>
      </c>
      <c r="S4" s="163" t="s">
        <v>4</v>
      </c>
      <c r="T4" s="163" t="s">
        <v>4</v>
      </c>
      <c r="U4" s="163" t="s">
        <v>5</v>
      </c>
      <c r="V4" s="163" t="s">
        <v>6</v>
      </c>
      <c r="W4" s="163" t="s">
        <v>7</v>
      </c>
      <c r="X4" s="163" t="s">
        <v>2</v>
      </c>
      <c r="Y4" s="163"/>
      <c r="Z4" s="163" t="s">
        <v>3</v>
      </c>
      <c r="AA4" s="163" t="s">
        <v>4</v>
      </c>
      <c r="AB4" s="163" t="s">
        <v>4</v>
      </c>
      <c r="AC4" s="163" t="s">
        <v>5</v>
      </c>
      <c r="AD4" s="163" t="s">
        <v>6</v>
      </c>
      <c r="AE4" s="163" t="s">
        <v>7</v>
      </c>
      <c r="AF4" s="163" t="s">
        <v>2</v>
      </c>
      <c r="AG4" s="163"/>
      <c r="AH4" s="163" t="s">
        <v>3</v>
      </c>
      <c r="AI4" s="163" t="s">
        <v>4</v>
      </c>
      <c r="AJ4" s="163" t="s">
        <v>4</v>
      </c>
      <c r="AK4" s="163" t="s">
        <v>5</v>
      </c>
      <c r="AL4" s="163" t="s">
        <v>6</v>
      </c>
      <c r="AM4" s="163" t="s">
        <v>7</v>
      </c>
      <c r="AN4" s="163" t="s">
        <v>2</v>
      </c>
      <c r="AO4" s="163"/>
      <c r="AP4" s="163"/>
      <c r="AQ4" s="47"/>
      <c r="AR4" s="47"/>
      <c r="AS4" s="47"/>
      <c r="AT4" s="47"/>
    </row>
    <row r="5" spans="1:52" ht="15.75" thickBot="1">
      <c r="A5" s="183" t="s">
        <v>8</v>
      </c>
      <c r="B5" s="169">
        <v>44564</v>
      </c>
      <c r="C5" s="169">
        <v>44565</v>
      </c>
      <c r="D5" s="169">
        <v>44566</v>
      </c>
      <c r="E5" s="169">
        <v>44567</v>
      </c>
      <c r="F5" s="169">
        <v>44568</v>
      </c>
      <c r="G5" s="169">
        <v>44569</v>
      </c>
      <c r="H5" s="169">
        <v>44570</v>
      </c>
      <c r="I5" s="166" t="s">
        <v>9</v>
      </c>
      <c r="J5" s="169">
        <v>44571</v>
      </c>
      <c r="K5" s="169">
        <v>44572</v>
      </c>
      <c r="L5" s="169">
        <v>44573</v>
      </c>
      <c r="M5" s="169">
        <v>44574</v>
      </c>
      <c r="N5" s="169">
        <v>44575</v>
      </c>
      <c r="O5" s="169">
        <v>44576</v>
      </c>
      <c r="P5" s="169">
        <v>44577</v>
      </c>
      <c r="Q5" s="166" t="s">
        <v>9</v>
      </c>
      <c r="R5" s="169">
        <v>44578</v>
      </c>
      <c r="S5" s="169">
        <v>44579</v>
      </c>
      <c r="T5" s="169">
        <v>44580</v>
      </c>
      <c r="U5" s="169">
        <v>44581</v>
      </c>
      <c r="V5" s="169">
        <v>44582</v>
      </c>
      <c r="W5" s="169">
        <v>44583</v>
      </c>
      <c r="X5" s="169">
        <v>44584</v>
      </c>
      <c r="Y5" s="166" t="s">
        <v>9</v>
      </c>
      <c r="Z5" s="169">
        <v>44585</v>
      </c>
      <c r="AA5" s="169">
        <v>44586</v>
      </c>
      <c r="AB5" s="169">
        <v>44587</v>
      </c>
      <c r="AC5" s="169">
        <v>44588</v>
      </c>
      <c r="AD5" s="169">
        <v>44589</v>
      </c>
      <c r="AE5" s="169">
        <v>44590</v>
      </c>
      <c r="AF5" s="169">
        <v>44591</v>
      </c>
      <c r="AG5" s="166" t="s">
        <v>9</v>
      </c>
      <c r="AH5" s="169">
        <v>44592</v>
      </c>
      <c r="AI5" s="169"/>
      <c r="AJ5" s="169"/>
      <c r="AK5" s="169"/>
      <c r="AL5" s="169"/>
      <c r="AM5" s="169"/>
      <c r="AN5" s="169"/>
      <c r="AO5" s="221"/>
      <c r="AP5" s="166" t="s">
        <v>9</v>
      </c>
      <c r="AQ5" s="191" t="s">
        <v>10</v>
      </c>
      <c r="AV5" s="47"/>
      <c r="AW5" s="47"/>
      <c r="AX5" s="47"/>
      <c r="AY5" s="47"/>
      <c r="AZ5" s="47"/>
    </row>
    <row r="6" spans="1:52">
      <c r="A6" s="183" t="s">
        <v>11</v>
      </c>
      <c r="B6" s="172">
        <v>108557</v>
      </c>
      <c r="C6" s="173">
        <v>100520</v>
      </c>
      <c r="D6" s="173">
        <v>105973</v>
      </c>
      <c r="E6" s="173">
        <v>0</v>
      </c>
      <c r="F6" s="173">
        <v>32565</v>
      </c>
      <c r="G6" s="173">
        <v>39831</v>
      </c>
      <c r="H6" s="173">
        <v>0</v>
      </c>
      <c r="I6" s="185">
        <f>SUM(B6:H6)</f>
        <v>387446</v>
      </c>
      <c r="J6" s="173">
        <v>20026</v>
      </c>
      <c r="K6" s="173">
        <v>0</v>
      </c>
      <c r="L6" s="173">
        <v>27024</v>
      </c>
      <c r="M6" s="173">
        <v>13350</v>
      </c>
      <c r="N6" s="173">
        <v>19115</v>
      </c>
      <c r="O6" s="173">
        <v>18740</v>
      </c>
      <c r="P6" s="173">
        <v>0</v>
      </c>
      <c r="Q6" s="185">
        <f>SUM(J6:P6)</f>
        <v>98255</v>
      </c>
      <c r="R6" s="173">
        <v>95730</v>
      </c>
      <c r="S6" s="173">
        <v>96914</v>
      </c>
      <c r="T6" s="173">
        <v>103098</v>
      </c>
      <c r="U6" s="173">
        <v>41433</v>
      </c>
      <c r="V6" s="173">
        <v>38642</v>
      </c>
      <c r="W6" s="173">
        <v>24945</v>
      </c>
      <c r="X6" s="173">
        <v>0</v>
      </c>
      <c r="Y6" s="185">
        <f>SUM(R6:X6)</f>
        <v>400762</v>
      </c>
      <c r="Z6" s="173">
        <v>88396</v>
      </c>
      <c r="AA6" s="173">
        <v>130427</v>
      </c>
      <c r="AB6" s="173">
        <v>115145</v>
      </c>
      <c r="AC6" s="173">
        <v>115917</v>
      </c>
      <c r="AD6" s="173">
        <v>8354</v>
      </c>
      <c r="AE6" s="173">
        <v>0</v>
      </c>
      <c r="AF6" s="173">
        <v>17477</v>
      </c>
      <c r="AG6" s="185">
        <f>SUM(Z6:AF6)</f>
        <v>475716</v>
      </c>
      <c r="AH6" s="173">
        <v>128643</v>
      </c>
      <c r="AI6" s="173">
        <v>0</v>
      </c>
      <c r="AJ6" s="173">
        <v>0</v>
      </c>
      <c r="AK6" s="173">
        <v>0</v>
      </c>
      <c r="AL6" s="173">
        <v>0</v>
      </c>
      <c r="AM6" s="173">
        <v>0</v>
      </c>
      <c r="AN6" s="173">
        <v>0</v>
      </c>
      <c r="AO6" s="222">
        <v>0</v>
      </c>
      <c r="AP6" s="185">
        <f>SUM(AH6:AO6)</f>
        <v>128643</v>
      </c>
      <c r="AQ6" s="192">
        <f>I6+Q6+Y6+AG6+AP6</f>
        <v>1490822</v>
      </c>
      <c r="AR6" s="47"/>
      <c r="AS6" s="47"/>
      <c r="AT6" s="47"/>
      <c r="AV6" s="47"/>
      <c r="AW6" s="47"/>
      <c r="AX6" s="47"/>
      <c r="AY6" s="47"/>
      <c r="AZ6" s="47"/>
    </row>
    <row r="7" spans="1:52">
      <c r="A7" s="183" t="s">
        <v>178</v>
      </c>
      <c r="B7" s="172"/>
      <c r="C7" s="173"/>
      <c r="D7" s="173">
        <v>25517</v>
      </c>
      <c r="E7" s="173"/>
      <c r="F7" s="173">
        <v>29419</v>
      </c>
      <c r="G7" s="173"/>
      <c r="H7" s="173"/>
      <c r="I7" s="185">
        <f>SUM(B7:H7)</f>
        <v>54936</v>
      </c>
      <c r="J7" s="173"/>
      <c r="K7" s="173"/>
      <c r="L7" s="173"/>
      <c r="M7" s="173"/>
      <c r="N7" s="173"/>
      <c r="O7" s="173"/>
      <c r="P7" s="173"/>
      <c r="Q7" s="185">
        <f>SUM(J7:P7)</f>
        <v>0</v>
      </c>
      <c r="R7" s="173">
        <v>87836</v>
      </c>
      <c r="S7" s="173"/>
      <c r="T7" s="173">
        <v>29298</v>
      </c>
      <c r="U7" s="173">
        <v>37188</v>
      </c>
      <c r="V7" s="173">
        <v>55342</v>
      </c>
      <c r="W7" s="173"/>
      <c r="X7" s="173"/>
      <c r="Y7" s="185">
        <f>SUM(R7:X7)</f>
        <v>209664</v>
      </c>
      <c r="Z7" s="173">
        <v>36756</v>
      </c>
      <c r="AA7" s="173"/>
      <c r="AB7" s="173">
        <v>21332</v>
      </c>
      <c r="AC7" s="173">
        <v>5319</v>
      </c>
      <c r="AD7" s="173">
        <v>29517</v>
      </c>
      <c r="AE7" s="173"/>
      <c r="AF7" s="173"/>
      <c r="AG7" s="185">
        <f>SUM(Z7:AF7)</f>
        <v>92924</v>
      </c>
      <c r="AH7" s="173">
        <v>6690</v>
      </c>
      <c r="AI7" s="173"/>
      <c r="AJ7" s="173"/>
      <c r="AK7" s="173"/>
      <c r="AL7" s="173"/>
      <c r="AM7" s="173"/>
      <c r="AN7" s="173"/>
      <c r="AO7" s="222"/>
      <c r="AP7" s="185">
        <f>SUM(AH7:AN7)</f>
        <v>6690</v>
      </c>
      <c r="AQ7" s="192">
        <f>I7+Q7+Y7+AG7+AP7</f>
        <v>364214</v>
      </c>
      <c r="AR7" s="317">
        <f>AQ6+AQ7</f>
        <v>1855036</v>
      </c>
      <c r="AS7" s="47"/>
      <c r="AT7" s="47"/>
      <c r="AV7" s="47"/>
      <c r="AW7" s="47"/>
      <c r="AX7" s="47"/>
      <c r="AY7" s="47"/>
      <c r="AZ7" s="47"/>
    </row>
    <row r="8" spans="1:52">
      <c r="A8" s="183" t="s">
        <v>13</v>
      </c>
      <c r="B8" s="173">
        <f>B11+B12</f>
        <v>8700</v>
      </c>
      <c r="C8" s="173">
        <f>C11+C12+C13</f>
        <v>30825.5</v>
      </c>
      <c r="D8" s="173">
        <f t="shared" ref="D8:H8" si="0">D11+D12+D13</f>
        <v>29139</v>
      </c>
      <c r="E8" s="173">
        <f t="shared" si="0"/>
        <v>29817</v>
      </c>
      <c r="F8" s="173">
        <f t="shared" si="0"/>
        <v>0</v>
      </c>
      <c r="G8" s="173">
        <f>G11+G12+G13</f>
        <v>40470</v>
      </c>
      <c r="H8" s="173">
        <f t="shared" si="0"/>
        <v>0</v>
      </c>
      <c r="I8" s="185">
        <f>SUM(B8:H8)</f>
        <v>138951.5</v>
      </c>
      <c r="J8" s="173">
        <f>J11+J12+J13</f>
        <v>50645</v>
      </c>
      <c r="K8" s="173">
        <f>K11+K12</f>
        <v>0</v>
      </c>
      <c r="L8" s="173">
        <f>L11+L12+L13</f>
        <v>5510</v>
      </c>
      <c r="M8" s="173">
        <f t="shared" ref="M8:P8" si="1">M11+M12+M13</f>
        <v>23529</v>
      </c>
      <c r="N8" s="173">
        <f>N11+N12</f>
        <v>23861</v>
      </c>
      <c r="O8" s="173">
        <f t="shared" si="1"/>
        <v>0</v>
      </c>
      <c r="P8" s="173">
        <f t="shared" si="1"/>
        <v>0</v>
      </c>
      <c r="Q8" s="185">
        <f>SUM(J8:P8)</f>
        <v>103545</v>
      </c>
      <c r="R8" s="173">
        <f>R11+R12+R13</f>
        <v>28559</v>
      </c>
      <c r="S8" s="173">
        <f t="shared" ref="S8:X8" si="2">S11+S12+S13</f>
        <v>34208</v>
      </c>
      <c r="T8" s="173">
        <f t="shared" si="2"/>
        <v>57040</v>
      </c>
      <c r="U8" s="173">
        <f>U11+U12+U13</f>
        <v>11824</v>
      </c>
      <c r="V8" s="173">
        <f t="shared" si="2"/>
        <v>55543</v>
      </c>
      <c r="W8" s="173">
        <f t="shared" si="2"/>
        <v>5380</v>
      </c>
      <c r="X8" s="173">
        <f t="shared" si="2"/>
        <v>0</v>
      </c>
      <c r="Y8" s="185">
        <f>SUM(R8:X8)</f>
        <v>192554</v>
      </c>
      <c r="Z8" s="173">
        <f>Z11+Z12+Z13</f>
        <v>27798</v>
      </c>
      <c r="AA8" s="173">
        <f t="shared" ref="AA8:AF8" si="3">AA11+AA12+AA13</f>
        <v>33235</v>
      </c>
      <c r="AB8" s="173">
        <f t="shared" si="3"/>
        <v>31412</v>
      </c>
      <c r="AC8" s="173">
        <f t="shared" si="3"/>
        <v>31447</v>
      </c>
      <c r="AD8" s="173">
        <f t="shared" si="3"/>
        <v>29404</v>
      </c>
      <c r="AE8" s="173">
        <f t="shared" si="3"/>
        <v>4320</v>
      </c>
      <c r="AF8" s="173">
        <f t="shared" si="3"/>
        <v>0</v>
      </c>
      <c r="AG8" s="185">
        <f>SUM(Z8:AF8)</f>
        <v>157616</v>
      </c>
      <c r="AH8" s="173">
        <f>AH11+AH12+AH13</f>
        <v>48049</v>
      </c>
      <c r="AI8" s="173">
        <f t="shared" ref="AI8:AN8" si="4">AI11+AI12</f>
        <v>0</v>
      </c>
      <c r="AJ8" s="173">
        <f t="shared" si="4"/>
        <v>0</v>
      </c>
      <c r="AK8" s="173">
        <f t="shared" si="4"/>
        <v>0</v>
      </c>
      <c r="AL8" s="173">
        <f t="shared" si="4"/>
        <v>0</v>
      </c>
      <c r="AM8" s="173">
        <f t="shared" si="4"/>
        <v>0</v>
      </c>
      <c r="AN8" s="173">
        <f t="shared" si="4"/>
        <v>0</v>
      </c>
      <c r="AO8" s="222"/>
      <c r="AP8" s="185">
        <f>SUM(AH8:AN8)</f>
        <v>48049</v>
      </c>
      <c r="AQ8" s="192">
        <f>I8+Q8+Y8+AG8+AP8</f>
        <v>640715.5</v>
      </c>
      <c r="AR8" s="47" t="s">
        <v>14</v>
      </c>
      <c r="AS8" s="47"/>
      <c r="AT8" s="47"/>
      <c r="AV8" s="47"/>
      <c r="AW8" s="47"/>
      <c r="AX8" s="47"/>
      <c r="AY8" s="47"/>
      <c r="AZ8" s="47"/>
    </row>
    <row r="9" spans="1:52" ht="15.75" thickBot="1">
      <c r="A9" s="183" t="s">
        <v>15</v>
      </c>
      <c r="B9" s="177">
        <f t="shared" ref="B9:Z9" si="5">B8/(B6+B7)</f>
        <v>8.0142229427858175E-2</v>
      </c>
      <c r="C9" s="177">
        <f t="shared" si="5"/>
        <v>0.30666036609629926</v>
      </c>
      <c r="D9" s="177">
        <f t="shared" si="5"/>
        <v>0.2216062057951175</v>
      </c>
      <c r="E9" s="177" t="e">
        <f t="shared" si="5"/>
        <v>#DIV/0!</v>
      </c>
      <c r="F9" s="177">
        <f t="shared" si="5"/>
        <v>0</v>
      </c>
      <c r="G9" s="177">
        <f t="shared" si="5"/>
        <v>1.0160427807486632</v>
      </c>
      <c r="H9" s="177" t="e">
        <f t="shared" si="5"/>
        <v>#DIV/0!</v>
      </c>
      <c r="I9" s="176">
        <f t="shared" si="5"/>
        <v>0.31409844885189725</v>
      </c>
      <c r="J9" s="177">
        <f t="shared" si="5"/>
        <v>2.5289623489463695</v>
      </c>
      <c r="K9" s="177" t="e">
        <f t="shared" si="5"/>
        <v>#DIV/0!</v>
      </c>
      <c r="L9" s="177">
        <f t="shared" si="5"/>
        <v>0.20389283599763172</v>
      </c>
      <c r="M9" s="177">
        <f t="shared" si="5"/>
        <v>1.7624719101123596</v>
      </c>
      <c r="N9" s="177">
        <f t="shared" si="5"/>
        <v>1.2482866858488098</v>
      </c>
      <c r="O9" s="177">
        <f t="shared" si="5"/>
        <v>0</v>
      </c>
      <c r="P9" s="177" t="e">
        <f t="shared" si="5"/>
        <v>#DIV/0!</v>
      </c>
      <c r="Q9" s="176">
        <f t="shared" si="5"/>
        <v>1.0538394992621241</v>
      </c>
      <c r="R9" s="177">
        <f t="shared" si="5"/>
        <v>0.15557891984354402</v>
      </c>
      <c r="S9" s="177">
        <f t="shared" si="5"/>
        <v>0.35297273871680046</v>
      </c>
      <c r="T9" s="177">
        <f t="shared" si="5"/>
        <v>0.43082872594338195</v>
      </c>
      <c r="U9" s="177">
        <f t="shared" si="5"/>
        <v>0.15039238880197403</v>
      </c>
      <c r="V9" s="177">
        <f t="shared" si="5"/>
        <v>0.59098357167177396</v>
      </c>
      <c r="W9" s="177">
        <f t="shared" si="5"/>
        <v>0.21567448386450191</v>
      </c>
      <c r="X9" s="177" t="e">
        <f t="shared" si="5"/>
        <v>#DIV/0!</v>
      </c>
      <c r="Y9" s="176">
        <f t="shared" si="5"/>
        <v>0.31544200279804596</v>
      </c>
      <c r="Z9" s="177">
        <f t="shared" si="5"/>
        <v>0.22211390948606494</v>
      </c>
      <c r="AA9" s="177">
        <f t="shared" ref="AA9:AN9" si="6">AA8/(AA6+AA7)</f>
        <v>0.25481687073995413</v>
      </c>
      <c r="AB9" s="177">
        <f t="shared" si="6"/>
        <v>0.23016332422312918</v>
      </c>
      <c r="AC9" s="177">
        <f t="shared" si="6"/>
        <v>0.25938665082978651</v>
      </c>
      <c r="AD9" s="177">
        <f t="shared" si="6"/>
        <v>0.77642523302791056</v>
      </c>
      <c r="AE9" s="177" t="e">
        <f t="shared" si="6"/>
        <v>#DIV/0!</v>
      </c>
      <c r="AF9" s="177">
        <f t="shared" si="6"/>
        <v>0</v>
      </c>
      <c r="AG9" s="176">
        <f t="shared" si="6"/>
        <v>0.27718064153066968</v>
      </c>
      <c r="AH9" s="177">
        <f>AH8/(AH6+AH7)</f>
        <v>0.35504274641070543</v>
      </c>
      <c r="AI9" s="177" t="e">
        <f t="shared" si="6"/>
        <v>#DIV/0!</v>
      </c>
      <c r="AJ9" s="177" t="e">
        <f t="shared" si="6"/>
        <v>#DIV/0!</v>
      </c>
      <c r="AK9" s="177" t="e">
        <f t="shared" si="6"/>
        <v>#DIV/0!</v>
      </c>
      <c r="AL9" s="177" t="e">
        <f t="shared" si="6"/>
        <v>#DIV/0!</v>
      </c>
      <c r="AM9" s="177" t="e">
        <f t="shared" si="6"/>
        <v>#DIV/0!</v>
      </c>
      <c r="AN9" s="177" t="e">
        <f t="shared" si="6"/>
        <v>#DIV/0!</v>
      </c>
      <c r="AO9" s="224"/>
      <c r="AP9" s="176">
        <f>AP8/(AP6+AP7)</f>
        <v>0.35504274641070543</v>
      </c>
      <c r="AQ9" s="193">
        <f>AQ8/(AQ6+AQ7)</f>
        <v>0.34539248833984892</v>
      </c>
      <c r="AR9" s="47"/>
      <c r="AS9" s="47"/>
      <c r="AT9" s="47"/>
      <c r="AV9" s="47"/>
      <c r="AW9" s="47"/>
      <c r="AX9" s="47"/>
      <c r="AY9" s="47"/>
      <c r="AZ9" s="47"/>
    </row>
    <row r="10" spans="1:52">
      <c r="A10" s="151"/>
      <c r="B10" s="178"/>
      <c r="C10" s="178"/>
      <c r="D10" s="178"/>
      <c r="E10" s="178"/>
      <c r="F10" s="178"/>
      <c r="G10" s="186"/>
      <c r="H10" s="178"/>
      <c r="I10" s="151"/>
      <c r="J10" s="178"/>
      <c r="K10" s="178"/>
      <c r="L10" s="178"/>
      <c r="M10" s="178"/>
      <c r="N10" s="178"/>
      <c r="O10" s="178"/>
      <c r="P10" s="188"/>
      <c r="Q10" s="151"/>
      <c r="R10" s="189"/>
      <c r="S10" s="189"/>
      <c r="T10" s="189"/>
      <c r="U10" s="189"/>
      <c r="V10" s="189"/>
      <c r="W10" s="189"/>
      <c r="X10" s="189"/>
      <c r="Y10" s="151"/>
      <c r="Z10" s="188"/>
      <c r="AA10" s="178"/>
      <c r="AB10" s="178"/>
      <c r="AC10" s="178"/>
      <c r="AD10" s="178"/>
      <c r="AE10" s="178"/>
      <c r="AF10" s="178"/>
      <c r="AG10" s="151"/>
      <c r="AH10" s="178"/>
      <c r="AI10" s="188"/>
      <c r="AJ10" s="189"/>
      <c r="AK10" s="189"/>
      <c r="AL10" s="189"/>
      <c r="AM10" s="189"/>
      <c r="AN10" s="189"/>
      <c r="AO10" s="189"/>
      <c r="AP10" s="151"/>
      <c r="AQ10" s="47"/>
      <c r="AR10" s="47"/>
      <c r="AS10" s="47"/>
      <c r="AU10" s="47"/>
      <c r="AV10" s="47"/>
      <c r="AW10" s="47"/>
      <c r="AX10" s="47"/>
      <c r="AY10" s="47"/>
    </row>
    <row r="11" spans="1:52" s="214" customFormat="1">
      <c r="A11" s="215" t="s">
        <v>16</v>
      </c>
      <c r="B11" s="216">
        <v>8700</v>
      </c>
      <c r="C11" s="216">
        <v>4949.5</v>
      </c>
      <c r="D11" s="216">
        <v>3600</v>
      </c>
      <c r="E11" s="216">
        <v>4870</v>
      </c>
      <c r="F11" s="216">
        <v>0</v>
      </c>
      <c r="G11" s="216">
        <v>15780</v>
      </c>
      <c r="H11" s="216">
        <v>0</v>
      </c>
      <c r="I11" s="215"/>
      <c r="J11" s="297">
        <v>0</v>
      </c>
      <c r="K11" s="216">
        <v>0</v>
      </c>
      <c r="L11" s="216">
        <v>5510</v>
      </c>
      <c r="M11" s="216">
        <v>0</v>
      </c>
      <c r="N11" s="216">
        <v>0</v>
      </c>
      <c r="O11" s="216">
        <v>0</v>
      </c>
      <c r="P11" s="216">
        <v>0</v>
      </c>
      <c r="Q11" s="215"/>
      <c r="R11" s="216">
        <v>4160</v>
      </c>
      <c r="S11" s="216">
        <v>9880</v>
      </c>
      <c r="T11" s="216">
        <v>5290</v>
      </c>
      <c r="U11" s="216">
        <v>11824</v>
      </c>
      <c r="V11" s="216">
        <v>5770</v>
      </c>
      <c r="W11" s="216">
        <v>5380</v>
      </c>
      <c r="X11" s="216">
        <v>0</v>
      </c>
      <c r="Y11" s="215"/>
      <c r="Z11" s="220">
        <v>3344</v>
      </c>
      <c r="AA11" s="216">
        <v>8400</v>
      </c>
      <c r="AB11" s="216">
        <v>5862</v>
      </c>
      <c r="AC11" s="216">
        <v>6128</v>
      </c>
      <c r="AD11" s="216">
        <v>4360</v>
      </c>
      <c r="AE11" s="216">
        <v>4320</v>
      </c>
      <c r="AF11" s="216">
        <v>0</v>
      </c>
      <c r="AG11" s="215"/>
      <c r="AH11" s="216">
        <v>0</v>
      </c>
      <c r="AI11" s="220"/>
      <c r="AJ11" s="216"/>
      <c r="AK11" s="216"/>
      <c r="AL11" s="216"/>
      <c r="AM11" s="216"/>
      <c r="AN11" s="216"/>
      <c r="AO11" s="216">
        <f>SUM(Z11:AE11,R11:X11,J11:P11,B11:H11)</f>
        <v>118127.5</v>
      </c>
      <c r="AP11" s="225" t="s">
        <v>16</v>
      </c>
      <c r="AQ11" s="318">
        <f>AQ8/AR7</f>
        <v>0.34539248833984892</v>
      </c>
      <c r="AR11" s="226"/>
      <c r="AS11" s="218"/>
      <c r="AU11" s="226"/>
      <c r="AV11" s="226"/>
      <c r="AW11" s="226"/>
      <c r="AX11" s="226"/>
      <c r="AY11" s="226"/>
    </row>
    <row r="12" spans="1:52" s="214" customFormat="1">
      <c r="A12" s="217" t="s">
        <v>17</v>
      </c>
      <c r="B12" s="218"/>
      <c r="C12" s="219">
        <v>25876</v>
      </c>
      <c r="D12" s="218">
        <v>25539</v>
      </c>
      <c r="E12" s="218">
        <v>24947</v>
      </c>
      <c r="F12" s="219">
        <v>0</v>
      </c>
      <c r="G12" s="219">
        <v>24690</v>
      </c>
      <c r="H12" s="219">
        <v>0</v>
      </c>
      <c r="I12" s="217"/>
      <c r="J12" s="219">
        <v>50645</v>
      </c>
      <c r="K12" s="219">
        <v>0</v>
      </c>
      <c r="L12" s="218">
        <v>0</v>
      </c>
      <c r="M12" s="218">
        <v>23529</v>
      </c>
      <c r="N12" s="219">
        <v>23861</v>
      </c>
      <c r="O12" s="219">
        <v>0</v>
      </c>
      <c r="P12" s="218">
        <v>0</v>
      </c>
      <c r="Q12" s="217"/>
      <c r="R12" s="218">
        <v>24399</v>
      </c>
      <c r="S12" s="218">
        <v>24328</v>
      </c>
      <c r="T12" s="218">
        <v>51750</v>
      </c>
      <c r="U12" s="218">
        <v>0</v>
      </c>
      <c r="V12" s="218">
        <v>49773</v>
      </c>
      <c r="W12" s="218">
        <v>0</v>
      </c>
      <c r="X12" s="218">
        <v>0</v>
      </c>
      <c r="Y12" s="217"/>
      <c r="Z12" s="218">
        <v>24454</v>
      </c>
      <c r="AA12" s="218">
        <v>24835</v>
      </c>
      <c r="AB12" s="218">
        <v>25550</v>
      </c>
      <c r="AC12" s="218">
        <v>25319</v>
      </c>
      <c r="AD12" s="218">
        <v>25044</v>
      </c>
      <c r="AE12" s="218">
        <v>0</v>
      </c>
      <c r="AF12" s="218">
        <v>0</v>
      </c>
      <c r="AG12" s="217"/>
      <c r="AH12" s="218">
        <v>48049</v>
      </c>
      <c r="AI12" s="218"/>
      <c r="AJ12" s="218"/>
      <c r="AK12" s="218"/>
      <c r="AL12" s="218"/>
      <c r="AM12" s="218"/>
      <c r="AN12" s="218"/>
      <c r="AO12" s="218">
        <f>SUM(AH12,Z12:AF12,R12:X12,J12:P12,B12:H12)</f>
        <v>522588</v>
      </c>
      <c r="AP12" s="227" t="s">
        <v>17</v>
      </c>
      <c r="AQ12" s="226"/>
      <c r="AR12" s="226"/>
      <c r="AS12" s="226"/>
      <c r="AT12" s="226"/>
    </row>
    <row r="13" spans="1:52" s="214" customFormat="1" ht="17.45" customHeight="1">
      <c r="A13" s="319" t="s">
        <v>174</v>
      </c>
      <c r="B13" s="218">
        <v>4240</v>
      </c>
      <c r="C13" s="219">
        <v>0</v>
      </c>
      <c r="D13" s="218">
        <v>0</v>
      </c>
      <c r="E13" s="218">
        <v>0</v>
      </c>
      <c r="F13" s="219">
        <v>0</v>
      </c>
      <c r="G13" s="219">
        <v>0</v>
      </c>
      <c r="H13" s="219">
        <v>0</v>
      </c>
      <c r="I13" s="217"/>
      <c r="J13" s="219">
        <v>0</v>
      </c>
      <c r="K13" s="219">
        <v>4788</v>
      </c>
      <c r="L13" s="218">
        <v>0</v>
      </c>
      <c r="M13" s="218">
        <v>0</v>
      </c>
      <c r="N13" s="219">
        <v>3690</v>
      </c>
      <c r="O13" s="219">
        <v>0</v>
      </c>
      <c r="P13" s="218">
        <v>0</v>
      </c>
      <c r="Q13" s="217"/>
      <c r="R13" s="218">
        <v>0</v>
      </c>
      <c r="S13" s="218">
        <v>0</v>
      </c>
      <c r="T13" s="218">
        <v>0</v>
      </c>
      <c r="U13" s="218">
        <v>0</v>
      </c>
      <c r="V13" s="218">
        <v>0</v>
      </c>
      <c r="W13" s="218">
        <v>0</v>
      </c>
      <c r="X13" s="218">
        <v>0</v>
      </c>
      <c r="Y13" s="217"/>
      <c r="Z13" s="218">
        <v>0</v>
      </c>
      <c r="AA13" s="218">
        <v>0</v>
      </c>
      <c r="AB13" s="218">
        <v>0</v>
      </c>
      <c r="AC13" s="218">
        <v>0</v>
      </c>
      <c r="AD13" s="218">
        <v>0</v>
      </c>
      <c r="AE13" s="218">
        <v>0</v>
      </c>
      <c r="AF13" s="218">
        <v>0</v>
      </c>
      <c r="AG13" s="217"/>
      <c r="AH13" s="218">
        <v>0</v>
      </c>
      <c r="AI13" s="218"/>
      <c r="AJ13" s="218"/>
      <c r="AK13" s="218"/>
      <c r="AL13" s="218"/>
      <c r="AM13" s="218"/>
      <c r="AN13" s="218"/>
      <c r="AO13" s="218">
        <f>SUM(B13,K13,N13)</f>
        <v>12718</v>
      </c>
      <c r="AP13" s="227" t="s">
        <v>171</v>
      </c>
      <c r="AQ13" s="226"/>
      <c r="AR13" s="226"/>
      <c r="AS13" s="226"/>
      <c r="AT13" s="226"/>
    </row>
    <row r="14" spans="1:52" ht="16.899999999999999" customHeight="1" thickBot="1">
      <c r="A14" s="304" t="s">
        <v>18</v>
      </c>
      <c r="B14" s="163" t="s">
        <v>3</v>
      </c>
      <c r="C14" s="163" t="s">
        <v>4</v>
      </c>
      <c r="D14" s="163" t="s">
        <v>4</v>
      </c>
      <c r="E14" s="163" t="s">
        <v>5</v>
      </c>
      <c r="F14" s="163" t="s">
        <v>6</v>
      </c>
      <c r="G14" s="163" t="s">
        <v>7</v>
      </c>
      <c r="H14" s="163" t="s">
        <v>2</v>
      </c>
      <c r="I14" s="163"/>
      <c r="J14" s="163" t="s">
        <v>3</v>
      </c>
      <c r="K14" s="163" t="s">
        <v>4</v>
      </c>
      <c r="L14" s="163" t="s">
        <v>4</v>
      </c>
      <c r="M14" s="163" t="s">
        <v>5</v>
      </c>
      <c r="N14" s="163" t="s">
        <v>6</v>
      </c>
      <c r="O14" s="163" t="s">
        <v>7</v>
      </c>
      <c r="P14" s="163" t="s">
        <v>2</v>
      </c>
      <c r="Q14" s="163"/>
      <c r="R14" s="163" t="s">
        <v>3</v>
      </c>
      <c r="S14" s="163" t="s">
        <v>4</v>
      </c>
      <c r="T14" s="163" t="s">
        <v>4</v>
      </c>
      <c r="U14" s="163" t="s">
        <v>5</v>
      </c>
      <c r="V14" s="163" t="s">
        <v>6</v>
      </c>
      <c r="W14" s="163" t="s">
        <v>7</v>
      </c>
      <c r="X14" s="163" t="s">
        <v>2</v>
      </c>
      <c r="Y14" s="163"/>
      <c r="Z14" s="163" t="s">
        <v>3</v>
      </c>
      <c r="AA14" s="163" t="s">
        <v>4</v>
      </c>
      <c r="AB14" s="163" t="s">
        <v>4</v>
      </c>
      <c r="AC14" s="163" t="s">
        <v>5</v>
      </c>
      <c r="AD14" s="163" t="s">
        <v>6</v>
      </c>
      <c r="AE14" s="163" t="s">
        <v>7</v>
      </c>
      <c r="AF14" s="163" t="s">
        <v>2</v>
      </c>
      <c r="AG14" s="163"/>
      <c r="AH14" s="163" t="s">
        <v>3</v>
      </c>
      <c r="AI14" s="163" t="s">
        <v>4</v>
      </c>
      <c r="AJ14" s="163" t="s">
        <v>4</v>
      </c>
      <c r="AK14" s="163" t="s">
        <v>5</v>
      </c>
      <c r="AL14" s="163" t="s">
        <v>6</v>
      </c>
      <c r="AM14" s="163" t="s">
        <v>7</v>
      </c>
      <c r="AN14" s="163" t="s">
        <v>2</v>
      </c>
      <c r="AO14" s="163"/>
      <c r="AP14" s="151"/>
      <c r="AQ14" s="214"/>
      <c r="AR14" s="47"/>
      <c r="AS14" s="47"/>
      <c r="AT14" s="47"/>
      <c r="AU14" s="47"/>
      <c r="AV14" s="47"/>
    </row>
    <row r="15" spans="1:52" ht="15.75" thickBot="1">
      <c r="A15" s="183" t="s">
        <v>8</v>
      </c>
      <c r="B15" s="169"/>
      <c r="C15" s="169">
        <v>44593</v>
      </c>
      <c r="D15" s="169">
        <v>44594</v>
      </c>
      <c r="E15" s="169">
        <v>44595</v>
      </c>
      <c r="F15" s="169">
        <v>44596</v>
      </c>
      <c r="G15" s="169">
        <v>44597</v>
      </c>
      <c r="H15" s="169">
        <v>44598</v>
      </c>
      <c r="I15" s="166" t="s">
        <v>9</v>
      </c>
      <c r="J15" s="169">
        <v>44599</v>
      </c>
      <c r="K15" s="169">
        <v>44600</v>
      </c>
      <c r="L15" s="169">
        <v>44601</v>
      </c>
      <c r="M15" s="169">
        <v>44602</v>
      </c>
      <c r="N15" s="169">
        <v>44603</v>
      </c>
      <c r="O15" s="169">
        <v>44604</v>
      </c>
      <c r="P15" s="169">
        <v>44605</v>
      </c>
      <c r="Q15" s="166" t="s">
        <v>9</v>
      </c>
      <c r="R15" s="169">
        <v>44606</v>
      </c>
      <c r="S15" s="169">
        <v>44607</v>
      </c>
      <c r="T15" s="169">
        <v>44608</v>
      </c>
      <c r="U15" s="169">
        <v>44609</v>
      </c>
      <c r="V15" s="169">
        <v>44610</v>
      </c>
      <c r="W15" s="169">
        <v>44611</v>
      </c>
      <c r="X15" s="169">
        <v>44612</v>
      </c>
      <c r="Y15" s="166" t="s">
        <v>9</v>
      </c>
      <c r="Z15" s="169">
        <v>44613</v>
      </c>
      <c r="AA15" s="169">
        <v>44614</v>
      </c>
      <c r="AB15" s="169">
        <v>44615</v>
      </c>
      <c r="AC15" s="169">
        <v>44616</v>
      </c>
      <c r="AD15" s="169">
        <v>44617</v>
      </c>
      <c r="AE15" s="169">
        <v>44618</v>
      </c>
      <c r="AF15" s="169">
        <v>44619</v>
      </c>
      <c r="AG15" s="166" t="s">
        <v>9</v>
      </c>
      <c r="AH15" s="169">
        <v>44620</v>
      </c>
      <c r="AI15" s="169"/>
      <c r="AJ15" s="169"/>
      <c r="AK15" s="169"/>
      <c r="AL15" s="169"/>
      <c r="AM15" s="169"/>
      <c r="AN15" s="169"/>
      <c r="AO15" s="221"/>
      <c r="AP15" s="166" t="s">
        <v>9</v>
      </c>
      <c r="AQ15" s="191" t="s">
        <v>10</v>
      </c>
      <c r="AV15" s="47"/>
      <c r="AW15" s="47"/>
      <c r="AX15" s="47"/>
      <c r="AY15" s="47"/>
      <c r="AZ15" s="47"/>
    </row>
    <row r="16" spans="1:52">
      <c r="A16" s="183" t="s">
        <v>11</v>
      </c>
      <c r="B16" s="172"/>
      <c r="C16" s="173">
        <v>70346</v>
      </c>
      <c r="D16" s="173">
        <v>103694</v>
      </c>
      <c r="E16" s="173">
        <v>61707</v>
      </c>
      <c r="F16" s="173">
        <v>46386</v>
      </c>
      <c r="G16" s="173">
        <v>0</v>
      </c>
      <c r="H16" s="173">
        <v>0</v>
      </c>
      <c r="I16" s="185">
        <f>SUM(B16:H16)</f>
        <v>282133</v>
      </c>
      <c r="J16" s="173">
        <v>117324</v>
      </c>
      <c r="K16" s="173">
        <v>36986</v>
      </c>
      <c r="L16" s="173">
        <v>46296</v>
      </c>
      <c r="M16" s="173">
        <v>17084</v>
      </c>
      <c r="N16" s="173">
        <v>70990</v>
      </c>
      <c r="O16" s="173">
        <v>40933</v>
      </c>
      <c r="P16" s="173">
        <v>0</v>
      </c>
      <c r="Q16" s="185">
        <f>SUM(J16:P16)</f>
        <v>329613</v>
      </c>
      <c r="R16" s="173">
        <v>49125</v>
      </c>
      <c r="S16" s="173">
        <v>88236</v>
      </c>
      <c r="T16" s="173">
        <v>136004</v>
      </c>
      <c r="U16" s="173">
        <v>79079</v>
      </c>
      <c r="V16" s="173">
        <v>80236</v>
      </c>
      <c r="W16" s="173">
        <v>79941</v>
      </c>
      <c r="X16" s="173">
        <v>49279</v>
      </c>
      <c r="Y16" s="185">
        <f>SUM(R16:X16)</f>
        <v>561900</v>
      </c>
      <c r="Z16" s="173">
        <v>119537</v>
      </c>
      <c r="AA16" s="173">
        <v>144805</v>
      </c>
      <c r="AB16" s="173">
        <v>140463</v>
      </c>
      <c r="AC16" s="173">
        <v>131732</v>
      </c>
      <c r="AD16" s="173">
        <v>97958</v>
      </c>
      <c r="AE16" s="173">
        <v>81021</v>
      </c>
      <c r="AF16" s="173">
        <v>0</v>
      </c>
      <c r="AG16" s="185">
        <f>SUM(Z16:AF16)</f>
        <v>715516</v>
      </c>
      <c r="AH16" s="173">
        <v>66159</v>
      </c>
      <c r="AI16" s="173"/>
      <c r="AJ16" s="173"/>
      <c r="AK16" s="173"/>
      <c r="AL16" s="173"/>
      <c r="AM16" s="173"/>
      <c r="AN16" s="173"/>
      <c r="AO16" s="222"/>
      <c r="AP16" s="185">
        <f>AH16</f>
        <v>66159</v>
      </c>
      <c r="AQ16" s="192">
        <f>I16+Q16+Y16+AG16+AP16</f>
        <v>1955321</v>
      </c>
      <c r="AR16" s="47"/>
      <c r="AS16" s="47"/>
      <c r="AT16" s="47"/>
      <c r="AV16" s="47"/>
      <c r="AW16" s="47"/>
      <c r="AX16" s="47"/>
      <c r="AY16" s="47"/>
      <c r="AZ16" s="47"/>
    </row>
    <row r="17" spans="1:52">
      <c r="A17" s="183" t="s">
        <v>178</v>
      </c>
      <c r="B17" s="172"/>
      <c r="C17" s="173"/>
      <c r="D17" s="173"/>
      <c r="E17" s="173">
        <v>64795</v>
      </c>
      <c r="F17" s="173">
        <v>29727</v>
      </c>
      <c r="G17" s="173"/>
      <c r="H17" s="173"/>
      <c r="I17" s="185">
        <f>SUM(B17:H17)</f>
        <v>94522</v>
      </c>
      <c r="J17" s="173"/>
      <c r="K17" s="173">
        <v>38718</v>
      </c>
      <c r="L17" s="173">
        <v>58241</v>
      </c>
      <c r="M17" s="173"/>
      <c r="N17" s="173">
        <v>29071</v>
      </c>
      <c r="O17" s="173">
        <v>29251</v>
      </c>
      <c r="P17" s="173"/>
      <c r="Q17" s="185">
        <f>SUM(J17:P17)</f>
        <v>155281</v>
      </c>
      <c r="R17" s="173">
        <v>31847</v>
      </c>
      <c r="S17" s="173">
        <v>31164</v>
      </c>
      <c r="T17" s="173"/>
      <c r="U17" s="173"/>
      <c r="V17" s="173">
        <v>38558</v>
      </c>
      <c r="W17" s="173">
        <v>30519</v>
      </c>
      <c r="X17" s="173">
        <v>18053</v>
      </c>
      <c r="Y17" s="185">
        <f>SUM(R17:X17)</f>
        <v>150141</v>
      </c>
      <c r="Z17" s="173"/>
      <c r="AA17" s="173"/>
      <c r="AB17" s="173"/>
      <c r="AC17" s="173"/>
      <c r="AD17" s="173">
        <v>30367</v>
      </c>
      <c r="AE17" s="173">
        <v>23860</v>
      </c>
      <c r="AF17" s="173"/>
      <c r="AG17" s="185">
        <f>SUM(Z17:AF17)</f>
        <v>54227</v>
      </c>
      <c r="AH17" s="173"/>
      <c r="AI17" s="173"/>
      <c r="AJ17" s="173"/>
      <c r="AK17" s="173"/>
      <c r="AL17" s="173"/>
      <c r="AM17" s="173"/>
      <c r="AN17" s="173"/>
      <c r="AO17" s="222"/>
      <c r="AP17" s="185">
        <f t="shared" ref="AP17" si="7">AH17</f>
        <v>0</v>
      </c>
      <c r="AQ17" s="192">
        <f t="shared" ref="AQ17" si="8">I17+Q17+Y17+AG17+AP17</f>
        <v>454171</v>
      </c>
      <c r="AR17" s="317">
        <f>AQ16+AQ17</f>
        <v>2409492</v>
      </c>
      <c r="AS17" s="47"/>
      <c r="AT17" s="47"/>
      <c r="AV17" s="47"/>
      <c r="AW17" s="47"/>
      <c r="AX17" s="47"/>
      <c r="AY17" s="47"/>
      <c r="AZ17" s="47"/>
    </row>
    <row r="18" spans="1:52">
      <c r="A18" s="183" t="s">
        <v>13</v>
      </c>
      <c r="B18" s="173"/>
      <c r="C18" s="173">
        <f>C21+C22+C23</f>
        <v>25715</v>
      </c>
      <c r="D18" s="173">
        <f t="shared" ref="D18:F18" si="9">D21+D22+D23</f>
        <v>34611</v>
      </c>
      <c r="E18" s="173">
        <f t="shared" si="9"/>
        <v>29270.5</v>
      </c>
      <c r="F18" s="173">
        <f t="shared" si="9"/>
        <v>28894</v>
      </c>
      <c r="G18" s="173">
        <f>G21+G22+G23</f>
        <v>2000</v>
      </c>
      <c r="H18" s="173">
        <f>H21+H22+H23</f>
        <v>0</v>
      </c>
      <c r="I18" s="185">
        <f>SUM(B18:H18)</f>
        <v>120490.5</v>
      </c>
      <c r="J18" s="173">
        <f>J21+J22+J23</f>
        <v>47665</v>
      </c>
      <c r="K18" s="173">
        <f t="shared" ref="K18:P18" si="10">K21+K22+K23</f>
        <v>32312.5</v>
      </c>
      <c r="L18" s="173">
        <f t="shared" si="10"/>
        <v>24330</v>
      </c>
      <c r="M18" s="173">
        <f t="shared" si="10"/>
        <v>23447</v>
      </c>
      <c r="N18" s="173">
        <f t="shared" si="10"/>
        <v>28522</v>
      </c>
      <c r="O18" s="173">
        <f t="shared" si="10"/>
        <v>0</v>
      </c>
      <c r="P18" s="173">
        <f t="shared" si="10"/>
        <v>0</v>
      </c>
      <c r="Q18" s="185">
        <f>SUM(J18:P18)</f>
        <v>156276.5</v>
      </c>
      <c r="R18" s="173">
        <f>R21+R22+R23</f>
        <v>27627</v>
      </c>
      <c r="S18" s="173">
        <f t="shared" ref="S18:X18" si="11">S21+S22+S23</f>
        <v>24037</v>
      </c>
      <c r="T18" s="173">
        <f t="shared" si="11"/>
        <v>27578</v>
      </c>
      <c r="U18" s="173">
        <f t="shared" si="11"/>
        <v>57154</v>
      </c>
      <c r="V18" s="173">
        <f t="shared" si="11"/>
        <v>23952</v>
      </c>
      <c r="W18" s="173">
        <f t="shared" si="11"/>
        <v>3762</v>
      </c>
      <c r="X18" s="173">
        <f t="shared" si="11"/>
        <v>0</v>
      </c>
      <c r="Y18" s="185">
        <f>SUM(R18:X18)</f>
        <v>164110</v>
      </c>
      <c r="Z18" s="173">
        <f>Z21+Z22+Z23</f>
        <v>53663.5</v>
      </c>
      <c r="AA18" s="173">
        <f t="shared" ref="AA18:AF18" si="12">AA21+AA22+AA23</f>
        <v>24998</v>
      </c>
      <c r="AB18" s="173">
        <f>AB21+AB22</f>
        <v>35100</v>
      </c>
      <c r="AC18" s="173">
        <f t="shared" si="12"/>
        <v>30370</v>
      </c>
      <c r="AD18" s="173">
        <f t="shared" si="12"/>
        <v>27802.5</v>
      </c>
      <c r="AE18" s="173">
        <f t="shared" si="12"/>
        <v>28633</v>
      </c>
      <c r="AF18" s="173">
        <f t="shared" si="12"/>
        <v>0</v>
      </c>
      <c r="AG18" s="185">
        <f>SUM(Z18:AF18)</f>
        <v>200567</v>
      </c>
      <c r="AH18" s="173">
        <f>AH21+AH22+AH23</f>
        <v>51352</v>
      </c>
      <c r="AI18" s="173"/>
      <c r="AJ18" s="173"/>
      <c r="AK18" s="173"/>
      <c r="AL18" s="173"/>
      <c r="AM18" s="173"/>
      <c r="AN18" s="173"/>
      <c r="AO18" s="222"/>
      <c r="AP18" s="185">
        <f>AH18</f>
        <v>51352</v>
      </c>
      <c r="AQ18" s="192">
        <f>I18+Q18+Y18+AG18+AP18</f>
        <v>692796</v>
      </c>
      <c r="AR18" s="47" t="s">
        <v>14</v>
      </c>
      <c r="AS18" s="47"/>
      <c r="AT18" s="47"/>
      <c r="AV18" s="47"/>
      <c r="AW18" s="47"/>
      <c r="AX18" s="47"/>
      <c r="AY18" s="47"/>
      <c r="AZ18" s="47"/>
    </row>
    <row r="19" spans="1:52" ht="15.75" thickBot="1">
      <c r="A19" s="183" t="s">
        <v>15</v>
      </c>
      <c r="B19" s="177" t="e">
        <f t="shared" ref="B19:I19" si="13">B18/B16</f>
        <v>#DIV/0!</v>
      </c>
      <c r="C19" s="177">
        <f t="shared" si="13"/>
        <v>0.36555028004435219</v>
      </c>
      <c r="D19" s="177">
        <f t="shared" si="13"/>
        <v>0.33378016085790885</v>
      </c>
      <c r="E19" s="177">
        <f t="shared" si="13"/>
        <v>0.47434650849984605</v>
      </c>
      <c r="F19" s="177">
        <f t="shared" si="13"/>
        <v>0.62290346225154136</v>
      </c>
      <c r="G19" s="177" t="e">
        <f t="shared" si="13"/>
        <v>#DIV/0!</v>
      </c>
      <c r="H19" s="177" t="e">
        <f t="shared" si="13"/>
        <v>#DIV/0!</v>
      </c>
      <c r="I19" s="176">
        <f t="shared" si="13"/>
        <v>0.42706985712412232</v>
      </c>
      <c r="J19" s="177">
        <f t="shared" ref="J19:R19" si="14">J18/J16</f>
        <v>0.40626811223620063</v>
      </c>
      <c r="K19" s="177">
        <f t="shared" si="14"/>
        <v>0.87364137781863405</v>
      </c>
      <c r="L19" s="177">
        <f t="shared" si="14"/>
        <v>0.52553136340072582</v>
      </c>
      <c r="M19" s="177">
        <f t="shared" si="14"/>
        <v>1.3724537579021308</v>
      </c>
      <c r="N19" s="177">
        <f t="shared" si="14"/>
        <v>0.40177489787293985</v>
      </c>
      <c r="O19" s="177">
        <f t="shared" si="14"/>
        <v>0</v>
      </c>
      <c r="P19" s="177" t="e">
        <f t="shared" si="14"/>
        <v>#DIV/0!</v>
      </c>
      <c r="Q19" s="176">
        <f t="shared" si="14"/>
        <v>0.47412116633749274</v>
      </c>
      <c r="R19" s="177">
        <f t="shared" si="14"/>
        <v>0.56238167938931294</v>
      </c>
      <c r="S19" s="177">
        <f t="shared" ref="S19:Y19" si="15">S18/S16</f>
        <v>0.27241715399610139</v>
      </c>
      <c r="T19" s="177">
        <f t="shared" si="15"/>
        <v>0.20277344783976942</v>
      </c>
      <c r="U19" s="177">
        <f t="shared" si="15"/>
        <v>0.72274560882155814</v>
      </c>
      <c r="V19" s="177">
        <f t="shared" si="15"/>
        <v>0.29851936786479882</v>
      </c>
      <c r="W19" s="177">
        <f t="shared" si="15"/>
        <v>4.7059706533568509E-2</v>
      </c>
      <c r="X19" s="177">
        <f t="shared" si="15"/>
        <v>0</v>
      </c>
      <c r="Y19" s="176">
        <f t="shared" si="15"/>
        <v>0.29206264459868303</v>
      </c>
      <c r="Z19" s="177">
        <f t="shared" ref="Z19:AG19" si="16">Z18/Z16</f>
        <v>0.44892794699549093</v>
      </c>
      <c r="AA19" s="177">
        <f t="shared" si="16"/>
        <v>0.17263216049169572</v>
      </c>
      <c r="AB19" s="177">
        <f t="shared" si="16"/>
        <v>0.24988787082719294</v>
      </c>
      <c r="AC19" s="177">
        <f t="shared" si="16"/>
        <v>0.23054383141529772</v>
      </c>
      <c r="AD19" s="177">
        <f t="shared" si="16"/>
        <v>0.28382061699912209</v>
      </c>
      <c r="AE19" s="177">
        <f t="shared" si="16"/>
        <v>0.35340220436676911</v>
      </c>
      <c r="AF19" s="177" t="e">
        <f t="shared" si="16"/>
        <v>#DIV/0!</v>
      </c>
      <c r="AG19" s="176">
        <f t="shared" si="16"/>
        <v>0.28031099234678192</v>
      </c>
      <c r="AH19" s="177">
        <f t="shared" ref="AH19:AN19" si="17">AH18/AH16</f>
        <v>0.77619069212049763</v>
      </c>
      <c r="AI19" s="177" t="e">
        <f t="shared" si="17"/>
        <v>#DIV/0!</v>
      </c>
      <c r="AJ19" s="177" t="e">
        <f t="shared" si="17"/>
        <v>#DIV/0!</v>
      </c>
      <c r="AK19" s="177" t="e">
        <f t="shared" si="17"/>
        <v>#DIV/0!</v>
      </c>
      <c r="AL19" s="177" t="e">
        <f t="shared" si="17"/>
        <v>#DIV/0!</v>
      </c>
      <c r="AM19" s="177" t="e">
        <f t="shared" si="17"/>
        <v>#DIV/0!</v>
      </c>
      <c r="AN19" s="177" t="e">
        <f t="shared" si="17"/>
        <v>#DIV/0!</v>
      </c>
      <c r="AO19" s="224"/>
      <c r="AP19" s="176">
        <f>AP18/AP16</f>
        <v>0.77619069212049763</v>
      </c>
      <c r="AQ19" s="193">
        <f>AQ18/(AQ16+AQ17)</f>
        <v>0.28752782744246508</v>
      </c>
      <c r="AR19" s="47"/>
      <c r="AS19" s="47"/>
      <c r="AT19" s="47"/>
      <c r="AV19" s="47"/>
      <c r="AW19" s="47"/>
      <c r="AX19" s="47"/>
      <c r="AY19" s="47"/>
      <c r="AZ19" s="47"/>
    </row>
    <row r="20" spans="1:52">
      <c r="A20" s="151"/>
      <c r="B20" s="178"/>
      <c r="C20" s="178"/>
      <c r="D20" s="178"/>
      <c r="E20" s="178"/>
      <c r="F20" s="178"/>
      <c r="G20" s="186"/>
      <c r="H20" s="178"/>
      <c r="I20" s="151"/>
      <c r="J20" s="189"/>
      <c r="K20" s="178"/>
      <c r="L20" s="178"/>
      <c r="M20" s="178"/>
      <c r="N20" s="178"/>
      <c r="O20" s="178"/>
      <c r="P20" s="188"/>
      <c r="Q20" s="151"/>
      <c r="R20" s="189"/>
      <c r="S20" s="189"/>
      <c r="T20" s="189"/>
      <c r="U20" s="189"/>
      <c r="V20" s="189"/>
      <c r="W20" s="189"/>
      <c r="X20" s="189"/>
      <c r="Y20" s="151"/>
      <c r="Z20" s="188"/>
      <c r="AA20" s="178"/>
      <c r="AB20" s="178"/>
      <c r="AC20" s="178"/>
      <c r="AD20" s="178"/>
      <c r="AE20" s="178"/>
      <c r="AF20" s="178"/>
      <c r="AG20" s="151"/>
      <c r="AH20" s="178"/>
      <c r="AI20" s="188"/>
      <c r="AJ20" s="189"/>
      <c r="AK20" s="189"/>
      <c r="AL20" s="189"/>
      <c r="AM20" s="189"/>
      <c r="AN20" s="189"/>
      <c r="AO20" s="189"/>
      <c r="AP20" s="151"/>
      <c r="AQ20" s="47"/>
      <c r="AR20" s="47"/>
      <c r="AS20" s="47"/>
      <c r="AU20" s="47"/>
      <c r="AV20" s="47"/>
      <c r="AW20" s="47"/>
      <c r="AX20" s="47"/>
      <c r="AY20" s="47"/>
    </row>
    <row r="21" spans="1:52" s="121" customFormat="1">
      <c r="A21" s="181" t="s">
        <v>17</v>
      </c>
      <c r="B21" s="180"/>
      <c r="C21" s="180">
        <v>25715</v>
      </c>
      <c r="D21" s="180">
        <v>25041</v>
      </c>
      <c r="E21" s="180">
        <v>24777</v>
      </c>
      <c r="F21" s="180">
        <v>24074</v>
      </c>
      <c r="G21" s="219">
        <v>0</v>
      </c>
      <c r="H21" s="219">
        <v>0</v>
      </c>
      <c r="I21" s="179"/>
      <c r="J21" s="180">
        <v>47665</v>
      </c>
      <c r="K21" s="180">
        <v>24076</v>
      </c>
      <c r="L21" s="180">
        <v>24330</v>
      </c>
      <c r="M21" s="180">
        <v>23447</v>
      </c>
      <c r="N21" s="180">
        <v>24102</v>
      </c>
      <c r="O21" s="219">
        <v>0</v>
      </c>
      <c r="P21" s="219">
        <v>0</v>
      </c>
      <c r="Q21" s="179"/>
      <c r="R21" s="180">
        <v>23597</v>
      </c>
      <c r="S21" s="180">
        <v>24037</v>
      </c>
      <c r="T21" s="180">
        <v>24113</v>
      </c>
      <c r="U21" s="180">
        <v>48870</v>
      </c>
      <c r="V21" s="180">
        <v>23952</v>
      </c>
      <c r="W21" s="216">
        <v>0</v>
      </c>
      <c r="X21" s="219">
        <v>0</v>
      </c>
      <c r="Y21" s="219"/>
      <c r="Z21" s="219">
        <v>49151</v>
      </c>
      <c r="AA21" s="219">
        <v>24998</v>
      </c>
      <c r="AB21" s="219">
        <v>24540</v>
      </c>
      <c r="AC21" s="219">
        <v>25610</v>
      </c>
      <c r="AD21" s="219">
        <v>24240</v>
      </c>
      <c r="AE21" s="219">
        <v>24753</v>
      </c>
      <c r="AF21" s="219">
        <v>0</v>
      </c>
      <c r="AG21" s="179"/>
      <c r="AH21" s="180">
        <v>47692</v>
      </c>
      <c r="AI21" s="187"/>
      <c r="AJ21" s="180"/>
      <c r="AK21" s="180"/>
      <c r="AL21" s="180"/>
      <c r="AM21" s="180"/>
      <c r="AN21" s="180"/>
      <c r="AO21" s="180">
        <f>SUM(AH21,Z21:AF21,R21:X21,J21:P21,C21:H21)</f>
        <v>608780</v>
      </c>
      <c r="AP21" s="194"/>
      <c r="AQ21" s="181" t="s">
        <v>17</v>
      </c>
      <c r="AR21" s="196"/>
      <c r="AS21" s="196"/>
      <c r="AU21" s="196"/>
      <c r="AV21" s="196"/>
      <c r="AW21" s="196"/>
      <c r="AX21" s="196"/>
      <c r="AY21" s="196"/>
    </row>
    <row r="22" spans="1:52" s="121" customFormat="1">
      <c r="A22" s="331" t="s">
        <v>16</v>
      </c>
      <c r="B22" s="160"/>
      <c r="C22" s="219">
        <v>0</v>
      </c>
      <c r="D22" s="160">
        <v>9570</v>
      </c>
      <c r="E22" s="160">
        <v>4493.5</v>
      </c>
      <c r="F22" s="182">
        <v>4820</v>
      </c>
      <c r="G22" s="182">
        <v>2000</v>
      </c>
      <c r="H22" s="219">
        <v>0</v>
      </c>
      <c r="I22" s="181"/>
      <c r="J22" s="219">
        <v>0</v>
      </c>
      <c r="K22" s="182">
        <f>3201.5+5035</f>
        <v>8236.5</v>
      </c>
      <c r="L22" s="219">
        <v>0</v>
      </c>
      <c r="M22" s="219">
        <v>0</v>
      </c>
      <c r="N22" s="182">
        <v>4420</v>
      </c>
      <c r="O22" s="219">
        <v>0</v>
      </c>
      <c r="P22" s="219">
        <v>0</v>
      </c>
      <c r="Q22" s="181"/>
      <c r="R22" s="160">
        <v>4030</v>
      </c>
      <c r="S22" s="219">
        <v>0</v>
      </c>
      <c r="T22" s="160">
        <v>3465</v>
      </c>
      <c r="U22" s="160">
        <f>3866.5+4417.5</f>
        <v>8284</v>
      </c>
      <c r="V22" s="218">
        <v>0</v>
      </c>
      <c r="W22" s="218">
        <v>3762</v>
      </c>
      <c r="X22" s="219">
        <v>0</v>
      </c>
      <c r="Y22" s="181"/>
      <c r="Z22" s="218">
        <v>4512.5</v>
      </c>
      <c r="AA22" s="218">
        <v>0</v>
      </c>
      <c r="AB22" s="218">
        <v>10560</v>
      </c>
      <c r="AC22" s="218">
        <v>4760</v>
      </c>
      <c r="AD22" s="218">
        <v>3562.5</v>
      </c>
      <c r="AE22" s="218">
        <v>3880</v>
      </c>
      <c r="AF22" s="219">
        <v>0</v>
      </c>
      <c r="AG22" s="219"/>
      <c r="AH22" s="219">
        <v>3660</v>
      </c>
      <c r="AI22" s="219"/>
      <c r="AJ22" s="219"/>
      <c r="AK22" s="219"/>
      <c r="AL22" s="219"/>
      <c r="AM22" s="219"/>
      <c r="AN22" s="219"/>
      <c r="AO22" s="219">
        <f>SUM(AH22,Z22:AF22,R22:X22,J22:P22,C22:H22)</f>
        <v>84016</v>
      </c>
      <c r="AP22" s="195"/>
      <c r="AQ22" s="194" t="s">
        <v>16</v>
      </c>
      <c r="AR22" s="196"/>
      <c r="AS22" s="196"/>
      <c r="AT22" s="196"/>
    </row>
    <row r="23" spans="1:52" s="121" customFormat="1">
      <c r="A23" s="319" t="s">
        <v>174</v>
      </c>
      <c r="B23" s="160"/>
      <c r="C23" s="219">
        <v>0</v>
      </c>
      <c r="D23" s="219">
        <v>0</v>
      </c>
      <c r="E23" s="219">
        <v>0</v>
      </c>
      <c r="F23" s="219">
        <v>0</v>
      </c>
      <c r="G23" s="219">
        <v>0</v>
      </c>
      <c r="H23" s="219">
        <v>0</v>
      </c>
      <c r="I23" s="181"/>
      <c r="J23" s="219">
        <v>0</v>
      </c>
      <c r="K23" s="219">
        <v>0</v>
      </c>
      <c r="L23" s="219">
        <v>0</v>
      </c>
      <c r="M23" s="219">
        <v>0</v>
      </c>
      <c r="N23" s="219">
        <v>0</v>
      </c>
      <c r="O23" s="219">
        <v>0</v>
      </c>
      <c r="P23" s="219">
        <v>0</v>
      </c>
      <c r="Q23" s="181"/>
      <c r="R23" s="219">
        <v>0</v>
      </c>
      <c r="S23" s="219">
        <v>0</v>
      </c>
      <c r="T23" s="219">
        <v>0</v>
      </c>
      <c r="U23" s="219">
        <v>0</v>
      </c>
      <c r="V23" s="219">
        <v>0</v>
      </c>
      <c r="W23" s="219">
        <v>0</v>
      </c>
      <c r="X23" s="219">
        <v>0</v>
      </c>
      <c r="Y23" s="219"/>
      <c r="Z23" s="219">
        <v>0</v>
      </c>
      <c r="AA23" s="219">
        <v>0</v>
      </c>
      <c r="AB23" s="219">
        <v>2700</v>
      </c>
      <c r="AC23" s="219">
        <v>0</v>
      </c>
      <c r="AD23" s="219">
        <v>0</v>
      </c>
      <c r="AE23" s="219">
        <v>0</v>
      </c>
      <c r="AF23" s="219">
        <v>0</v>
      </c>
      <c r="AG23" s="219"/>
      <c r="AH23" s="219">
        <v>0</v>
      </c>
      <c r="AI23" s="219"/>
      <c r="AJ23" s="160"/>
      <c r="AK23" s="160"/>
      <c r="AL23" s="190"/>
      <c r="AM23" s="160"/>
      <c r="AN23" s="160"/>
      <c r="AO23" s="160">
        <f>SUM(AH23,Z23:AF23,R23:X23,J23:P23,C23:H23)</f>
        <v>2700</v>
      </c>
      <c r="AP23" s="195"/>
      <c r="AQ23" s="227" t="s">
        <v>171</v>
      </c>
      <c r="AR23" s="196"/>
      <c r="AS23" s="196"/>
      <c r="AT23" s="196"/>
    </row>
    <row r="24" spans="1:52" ht="15.75" thickBot="1">
      <c r="A24" s="304" t="s">
        <v>19</v>
      </c>
      <c r="B24" s="163" t="s">
        <v>3</v>
      </c>
      <c r="C24" s="163" t="s">
        <v>4</v>
      </c>
      <c r="D24" s="163" t="s">
        <v>4</v>
      </c>
      <c r="E24" s="163" t="s">
        <v>5</v>
      </c>
      <c r="F24" s="163" t="s">
        <v>6</v>
      </c>
      <c r="G24" s="163" t="s">
        <v>7</v>
      </c>
      <c r="H24" s="163" t="s">
        <v>2</v>
      </c>
      <c r="I24" s="163"/>
      <c r="J24" s="163" t="s">
        <v>3</v>
      </c>
      <c r="K24" s="163" t="s">
        <v>4</v>
      </c>
      <c r="L24" s="163" t="s">
        <v>4</v>
      </c>
      <c r="M24" s="163" t="s">
        <v>5</v>
      </c>
      <c r="N24" s="163" t="s">
        <v>6</v>
      </c>
      <c r="O24" s="163" t="s">
        <v>7</v>
      </c>
      <c r="P24" s="163" t="s">
        <v>2</v>
      </c>
      <c r="Q24" s="163"/>
      <c r="R24" s="163" t="s">
        <v>3</v>
      </c>
      <c r="S24" s="163" t="s">
        <v>4</v>
      </c>
      <c r="T24" s="163" t="s">
        <v>4</v>
      </c>
      <c r="U24" s="163" t="s">
        <v>5</v>
      </c>
      <c r="V24" s="163" t="s">
        <v>6</v>
      </c>
      <c r="W24" s="163" t="s">
        <v>7</v>
      </c>
      <c r="X24" s="163" t="s">
        <v>2</v>
      </c>
      <c r="Y24" s="163"/>
      <c r="Z24" s="163" t="s">
        <v>3</v>
      </c>
      <c r="AA24" s="163" t="s">
        <v>4</v>
      </c>
      <c r="AB24" s="163" t="s">
        <v>4</v>
      </c>
      <c r="AC24" s="163" t="s">
        <v>5</v>
      </c>
      <c r="AD24" s="163" t="s">
        <v>6</v>
      </c>
      <c r="AE24" s="163" t="s">
        <v>7</v>
      </c>
      <c r="AF24" s="163" t="s">
        <v>2</v>
      </c>
      <c r="AG24" s="163"/>
      <c r="AH24" s="163" t="s">
        <v>3</v>
      </c>
      <c r="AI24" s="163" t="s">
        <v>4</v>
      </c>
      <c r="AJ24" s="163" t="s">
        <v>4</v>
      </c>
      <c r="AK24" s="163" t="s">
        <v>5</v>
      </c>
      <c r="AL24" s="163" t="s">
        <v>6</v>
      </c>
      <c r="AM24" s="163" t="s">
        <v>7</v>
      </c>
      <c r="AN24" s="163" t="s">
        <v>2</v>
      </c>
      <c r="AO24" s="163"/>
      <c r="AP24" s="151"/>
      <c r="AQ24" s="47"/>
      <c r="AR24" s="47"/>
      <c r="AS24" s="47"/>
      <c r="AT24" s="47"/>
      <c r="AU24" s="47"/>
    </row>
    <row r="25" spans="1:52" ht="15.75" thickBot="1">
      <c r="A25" s="183" t="s">
        <v>8</v>
      </c>
      <c r="B25" s="169"/>
      <c r="C25" s="169">
        <v>44621</v>
      </c>
      <c r="D25" s="169">
        <v>44622</v>
      </c>
      <c r="E25" s="169">
        <v>44623</v>
      </c>
      <c r="F25" s="169">
        <v>44624</v>
      </c>
      <c r="G25" s="169">
        <v>44625</v>
      </c>
      <c r="H25" s="169">
        <v>44626</v>
      </c>
      <c r="I25" s="166" t="s">
        <v>9</v>
      </c>
      <c r="J25" s="169">
        <v>44627</v>
      </c>
      <c r="K25" s="169">
        <v>44628</v>
      </c>
      <c r="L25" s="169">
        <v>44629</v>
      </c>
      <c r="M25" s="169">
        <v>44630</v>
      </c>
      <c r="N25" s="169">
        <v>44631</v>
      </c>
      <c r="O25" s="169">
        <v>44632</v>
      </c>
      <c r="P25" s="169">
        <v>44633</v>
      </c>
      <c r="Q25" s="166" t="s">
        <v>9</v>
      </c>
      <c r="R25" s="169">
        <v>44634</v>
      </c>
      <c r="S25" s="169">
        <v>44635</v>
      </c>
      <c r="T25" s="169">
        <v>44636</v>
      </c>
      <c r="U25" s="169">
        <v>44637</v>
      </c>
      <c r="V25" s="169">
        <v>44638</v>
      </c>
      <c r="W25" s="169">
        <v>44639</v>
      </c>
      <c r="X25" s="169">
        <v>44640</v>
      </c>
      <c r="Y25" s="166" t="s">
        <v>9</v>
      </c>
      <c r="Z25" s="169">
        <v>44641</v>
      </c>
      <c r="AA25" s="169">
        <v>44642</v>
      </c>
      <c r="AB25" s="169">
        <v>44643</v>
      </c>
      <c r="AC25" s="169">
        <v>44644</v>
      </c>
      <c r="AD25" s="169">
        <v>44645</v>
      </c>
      <c r="AE25" s="169">
        <v>44646</v>
      </c>
      <c r="AF25" s="169">
        <v>44647</v>
      </c>
      <c r="AG25" s="166" t="s">
        <v>9</v>
      </c>
      <c r="AH25" s="169">
        <v>44648</v>
      </c>
      <c r="AI25" s="169">
        <v>44649</v>
      </c>
      <c r="AJ25" s="169">
        <v>44650</v>
      </c>
      <c r="AK25" s="169">
        <v>44651</v>
      </c>
      <c r="AL25" s="169"/>
      <c r="AM25" s="169"/>
      <c r="AN25" s="169"/>
      <c r="AO25" s="221"/>
      <c r="AP25" s="166" t="s">
        <v>9</v>
      </c>
      <c r="AQ25" s="191" t="s">
        <v>10</v>
      </c>
      <c r="AV25" s="47"/>
      <c r="AW25" s="47"/>
      <c r="AX25" s="47"/>
      <c r="AY25" s="47"/>
      <c r="AZ25" s="47"/>
    </row>
    <row r="26" spans="1:52">
      <c r="A26" s="183" t="s">
        <v>11</v>
      </c>
      <c r="B26" s="172"/>
      <c r="C26" s="173">
        <v>200860</v>
      </c>
      <c r="D26" s="173">
        <v>100263</v>
      </c>
      <c r="E26" s="173">
        <v>44816</v>
      </c>
      <c r="F26" s="173">
        <v>55320</v>
      </c>
      <c r="G26" s="173">
        <v>82152</v>
      </c>
      <c r="H26" s="173">
        <v>0</v>
      </c>
      <c r="I26" s="185">
        <f>SUM(B26:H26)</f>
        <v>483411</v>
      </c>
      <c r="J26" s="173">
        <v>124657</v>
      </c>
      <c r="K26" s="173">
        <v>85431</v>
      </c>
      <c r="L26" s="173">
        <v>156386</v>
      </c>
      <c r="M26" s="173">
        <v>134693</v>
      </c>
      <c r="N26" s="173">
        <v>89988</v>
      </c>
      <c r="O26" s="173">
        <v>123088</v>
      </c>
      <c r="P26" s="173">
        <v>0</v>
      </c>
      <c r="Q26" s="185">
        <f>SUM(J26:P26)</f>
        <v>714243</v>
      </c>
      <c r="R26" s="173">
        <v>61438</v>
      </c>
      <c r="S26" s="173">
        <v>121580</v>
      </c>
      <c r="T26" s="173">
        <v>102965</v>
      </c>
      <c r="U26" s="173">
        <v>78654</v>
      </c>
      <c r="V26" s="173">
        <v>98834</v>
      </c>
      <c r="W26" s="173">
        <v>96151</v>
      </c>
      <c r="X26" s="173">
        <v>0</v>
      </c>
      <c r="Y26" s="185">
        <f>SUM(R26:X26)</f>
        <v>559622</v>
      </c>
      <c r="Z26" s="173">
        <v>0</v>
      </c>
      <c r="AA26" s="173">
        <v>88785</v>
      </c>
      <c r="AB26" s="173">
        <v>106549</v>
      </c>
      <c r="AC26" s="173">
        <v>102231</v>
      </c>
      <c r="AD26" s="173">
        <v>78659</v>
      </c>
      <c r="AE26" s="173">
        <v>121074</v>
      </c>
      <c r="AF26" s="173">
        <v>0</v>
      </c>
      <c r="AG26" s="185">
        <f>SUM(Z26:AF26)</f>
        <v>497298</v>
      </c>
      <c r="AH26" s="173">
        <v>73941</v>
      </c>
      <c r="AI26" s="173">
        <v>100268</v>
      </c>
      <c r="AJ26" s="173">
        <v>111997</v>
      </c>
      <c r="AK26" s="173">
        <v>58527</v>
      </c>
      <c r="AL26" s="173"/>
      <c r="AM26" s="173"/>
      <c r="AN26" s="173"/>
      <c r="AO26" s="222"/>
      <c r="AP26" s="185">
        <f>SUM(AH26:AN26)</f>
        <v>344733</v>
      </c>
      <c r="AQ26" s="192">
        <f>I26+Q26+Y26+AG26+AP26</f>
        <v>2599307</v>
      </c>
      <c r="AR26" s="47"/>
      <c r="AS26" s="47"/>
      <c r="AT26" s="47"/>
      <c r="AV26" s="47"/>
      <c r="AW26" s="47"/>
      <c r="AX26" s="47"/>
      <c r="AY26" s="47"/>
      <c r="AZ26" s="47"/>
    </row>
    <row r="27" spans="1:52">
      <c r="A27" s="183" t="s">
        <v>178</v>
      </c>
      <c r="B27" s="172"/>
      <c r="C27" s="173"/>
      <c r="D27" s="173">
        <v>13224</v>
      </c>
      <c r="E27" s="173">
        <v>20595</v>
      </c>
      <c r="F27" s="173"/>
      <c r="G27" s="173"/>
      <c r="H27" s="173"/>
      <c r="I27" s="185">
        <f>SUM(B27:H27)</f>
        <v>33819</v>
      </c>
      <c r="J27" s="173"/>
      <c r="K27" s="173">
        <v>33523</v>
      </c>
      <c r="L27" s="173"/>
      <c r="M27" s="173"/>
      <c r="N27" s="173">
        <v>29280</v>
      </c>
      <c r="O27" s="173">
        <v>12586</v>
      </c>
      <c r="P27" s="173"/>
      <c r="Q27" s="185">
        <f>SUM(J27:P27)</f>
        <v>75389</v>
      </c>
      <c r="R27" s="173"/>
      <c r="S27" s="173"/>
      <c r="T27" s="173">
        <v>10000</v>
      </c>
      <c r="U27" s="173">
        <v>15000</v>
      </c>
      <c r="V27" s="173">
        <v>8078</v>
      </c>
      <c r="W27" s="173"/>
      <c r="X27" s="173"/>
      <c r="Y27" s="185">
        <f>SUM(R27:X27)</f>
        <v>33078</v>
      </c>
      <c r="Z27" s="173"/>
      <c r="AA27" s="173">
        <v>31400</v>
      </c>
      <c r="AB27" s="173">
        <v>17800</v>
      </c>
      <c r="AC27" s="173">
        <v>17484</v>
      </c>
      <c r="AD27" s="173">
        <v>11638</v>
      </c>
      <c r="AE27" s="173">
        <v>4823</v>
      </c>
      <c r="AF27" s="173"/>
      <c r="AG27" s="185">
        <f>SUM(Z27:AF27)</f>
        <v>83145</v>
      </c>
      <c r="AH27" s="173">
        <v>14748</v>
      </c>
      <c r="AI27" s="173">
        <v>9870</v>
      </c>
      <c r="AJ27" s="173"/>
      <c r="AK27" s="173">
        <v>14997</v>
      </c>
      <c r="AL27" s="173"/>
      <c r="AM27" s="173"/>
      <c r="AN27" s="173"/>
      <c r="AO27" s="222"/>
      <c r="AP27" s="185">
        <f>SUM(AH27:AN27)</f>
        <v>39615</v>
      </c>
      <c r="AQ27" s="192">
        <f>I27+Q27+Y27+AG27+AP27</f>
        <v>265046</v>
      </c>
      <c r="AR27" s="317">
        <f>AQ26+AQ27</f>
        <v>2864353</v>
      </c>
      <c r="AS27" s="47"/>
      <c r="AT27" s="47"/>
      <c r="AV27" s="47"/>
      <c r="AW27" s="47"/>
      <c r="AX27" s="47"/>
      <c r="AY27" s="47"/>
      <c r="AZ27" s="47"/>
    </row>
    <row r="28" spans="1:52">
      <c r="A28" s="183" t="s">
        <v>13</v>
      </c>
      <c r="B28" s="173"/>
      <c r="C28" s="173">
        <f>C31+C32+C33</f>
        <v>27547</v>
      </c>
      <c r="D28" s="173">
        <f>D31+D32+D33</f>
        <v>32419</v>
      </c>
      <c r="E28" s="173">
        <f>E31+E32</f>
        <v>55903</v>
      </c>
      <c r="F28" s="173">
        <f t="shared" ref="F28:H28" si="18">F31+F32+F33</f>
        <v>3519</v>
      </c>
      <c r="G28" s="173">
        <f t="shared" si="18"/>
        <v>27439</v>
      </c>
      <c r="H28" s="173">
        <f t="shared" si="18"/>
        <v>0</v>
      </c>
      <c r="I28" s="185">
        <f>SUM(B28:H28)</f>
        <v>146827</v>
      </c>
      <c r="J28" s="173">
        <f>J31+J32+J33</f>
        <v>29487</v>
      </c>
      <c r="K28" s="173">
        <f t="shared" ref="K28:O28" si="19">K31+K32+K33</f>
        <v>48406</v>
      </c>
      <c r="L28" s="173">
        <f>L31+L32+L33</f>
        <v>32965</v>
      </c>
      <c r="M28" s="173">
        <f t="shared" si="19"/>
        <v>30599</v>
      </c>
      <c r="N28" s="173">
        <f>N31+N32+N33</f>
        <v>53313</v>
      </c>
      <c r="O28" s="173">
        <f t="shared" si="19"/>
        <v>28312</v>
      </c>
      <c r="P28" s="173">
        <f>P31+P32+P33</f>
        <v>0</v>
      </c>
      <c r="Q28" s="185">
        <f>SUM(J28:P28)</f>
        <v>223082</v>
      </c>
      <c r="R28" s="173">
        <f>R31+R32</f>
        <v>28660</v>
      </c>
      <c r="S28" s="173">
        <f>S31+S32+S33</f>
        <v>54060</v>
      </c>
      <c r="T28" s="173">
        <f>T31+T32+T33</f>
        <v>30437</v>
      </c>
      <c r="U28" s="173">
        <f t="shared" ref="U28:X28" si="20">U31+U32+U33</f>
        <v>29011</v>
      </c>
      <c r="V28" s="173">
        <f t="shared" si="20"/>
        <v>29198</v>
      </c>
      <c r="W28" s="173">
        <f t="shared" si="20"/>
        <v>29730</v>
      </c>
      <c r="X28" s="173">
        <f t="shared" si="20"/>
        <v>0</v>
      </c>
      <c r="Y28" s="185">
        <f>SUM(R28:X28)</f>
        <v>201096</v>
      </c>
      <c r="Z28" s="173">
        <f>Z31+Z32+Z33</f>
        <v>29126</v>
      </c>
      <c r="AA28" s="173">
        <f t="shared" ref="AA28:AE28" si="21">AA31+AA32+AA33</f>
        <v>5187</v>
      </c>
      <c r="AB28" s="173">
        <f t="shared" si="21"/>
        <v>28554</v>
      </c>
      <c r="AC28" s="173">
        <f t="shared" si="21"/>
        <v>52184</v>
      </c>
      <c r="AD28" s="173">
        <f t="shared" si="21"/>
        <v>29138</v>
      </c>
      <c r="AE28" s="173">
        <f t="shared" si="21"/>
        <v>28574</v>
      </c>
      <c r="AF28" s="173">
        <f t="shared" ref="AF28" si="22">AF31+AF32+AF33</f>
        <v>0</v>
      </c>
      <c r="AG28" s="185">
        <f>SUM(Z28:AF28)</f>
        <v>172763</v>
      </c>
      <c r="AH28" s="173">
        <f>AH31+AH32+AH33</f>
        <v>30250</v>
      </c>
      <c r="AI28" s="173">
        <f t="shared" ref="AI28:AK28" si="23">AI31+AI32+AI33</f>
        <v>28771</v>
      </c>
      <c r="AJ28" s="173">
        <f t="shared" si="23"/>
        <v>55026</v>
      </c>
      <c r="AK28" s="173">
        <f t="shared" si="23"/>
        <v>28841</v>
      </c>
      <c r="AL28" s="173">
        <f t="shared" ref="AL28:AM28" si="24">AL31+AL32</f>
        <v>0</v>
      </c>
      <c r="AM28" s="173">
        <f t="shared" si="24"/>
        <v>0</v>
      </c>
      <c r="AN28" s="173"/>
      <c r="AO28" s="222"/>
      <c r="AP28" s="185">
        <f>SUM(AH28:AN28)</f>
        <v>142888</v>
      </c>
      <c r="AQ28" s="192">
        <f>I28+Q28+Y28+AG28+AP28</f>
        <v>886656</v>
      </c>
      <c r="AR28" s="47" t="s">
        <v>14</v>
      </c>
      <c r="AS28" s="47"/>
      <c r="AT28" s="47"/>
      <c r="AV28" s="47"/>
      <c r="AW28" s="47"/>
      <c r="AX28" s="47"/>
      <c r="AY28" s="47"/>
      <c r="AZ28" s="47"/>
    </row>
    <row r="29" spans="1:52" ht="15.75" thickBot="1">
      <c r="A29" s="183" t="s">
        <v>15</v>
      </c>
      <c r="B29" s="177" t="e">
        <f t="shared" ref="B29:I29" si="25">B28/B26</f>
        <v>#DIV/0!</v>
      </c>
      <c r="C29" s="177">
        <f t="shared" si="25"/>
        <v>0.1371452753161406</v>
      </c>
      <c r="D29" s="177">
        <f t="shared" si="25"/>
        <v>0.32333961680779549</v>
      </c>
      <c r="E29" s="177">
        <f t="shared" si="25"/>
        <v>1.2473893252409853</v>
      </c>
      <c r="F29" s="177">
        <f t="shared" si="25"/>
        <v>6.3611713665943606E-2</v>
      </c>
      <c r="G29" s="177">
        <f t="shared" si="25"/>
        <v>0.3340028240334989</v>
      </c>
      <c r="H29" s="177" t="e">
        <f t="shared" si="25"/>
        <v>#DIV/0!</v>
      </c>
      <c r="I29" s="176">
        <f t="shared" si="25"/>
        <v>0.30373119353924505</v>
      </c>
      <c r="J29" s="177">
        <f t="shared" ref="J29:R29" si="26">J28/J26</f>
        <v>0.23654507969869321</v>
      </c>
      <c r="K29" s="177">
        <f t="shared" si="26"/>
        <v>0.56660931043766316</v>
      </c>
      <c r="L29" s="177">
        <f t="shared" si="26"/>
        <v>0.21079252618520838</v>
      </c>
      <c r="M29" s="177">
        <f t="shared" si="26"/>
        <v>0.22717587402463379</v>
      </c>
      <c r="N29" s="177">
        <f t="shared" si="26"/>
        <v>0.59244565942125615</v>
      </c>
      <c r="O29" s="177">
        <f t="shared" si="26"/>
        <v>0.23001429871311582</v>
      </c>
      <c r="P29" s="177" t="e">
        <f t="shared" si="26"/>
        <v>#DIV/0!</v>
      </c>
      <c r="Q29" s="176">
        <f>Q28/Q26</f>
        <v>0.31233347754195701</v>
      </c>
      <c r="R29" s="177">
        <f t="shared" si="26"/>
        <v>0.46648653927536704</v>
      </c>
      <c r="S29" s="177">
        <f t="shared" ref="S29:Y29" si="27">S28/S26</f>
        <v>0.44464550090475408</v>
      </c>
      <c r="T29" s="177">
        <f t="shared" si="27"/>
        <v>0.29560530277278685</v>
      </c>
      <c r="U29" s="177">
        <f t="shared" si="27"/>
        <v>0.36884328832608643</v>
      </c>
      <c r="V29" s="177">
        <f t="shared" si="27"/>
        <v>0.29542465143574076</v>
      </c>
      <c r="W29" s="177">
        <f t="shared" si="27"/>
        <v>0.30920115235410967</v>
      </c>
      <c r="X29" s="177" t="e">
        <f t="shared" si="27"/>
        <v>#DIV/0!</v>
      </c>
      <c r="Y29" s="176">
        <f t="shared" si="27"/>
        <v>0.35934255622545219</v>
      </c>
      <c r="Z29" s="177" t="e">
        <f t="shared" ref="Z29:AG29" si="28">Z28/Z26</f>
        <v>#DIV/0!</v>
      </c>
      <c r="AA29" s="177">
        <f t="shared" si="28"/>
        <v>5.8422030748437236E-2</v>
      </c>
      <c r="AB29" s="177">
        <f t="shared" si="28"/>
        <v>0.26798937578015747</v>
      </c>
      <c r="AC29" s="177">
        <f t="shared" si="28"/>
        <v>0.51045181989807398</v>
      </c>
      <c r="AD29" s="177">
        <f t="shared" si="28"/>
        <v>0.37043440674303002</v>
      </c>
      <c r="AE29" s="177">
        <f t="shared" si="28"/>
        <v>0.23600442704461735</v>
      </c>
      <c r="AF29" s="177" t="e">
        <f t="shared" si="28"/>
        <v>#DIV/0!</v>
      </c>
      <c r="AG29" s="176">
        <f t="shared" si="28"/>
        <v>0.34740336779958897</v>
      </c>
      <c r="AH29" s="177">
        <f t="shared" ref="AH29:AN29" si="29">AH28/AH26</f>
        <v>0.40910996605401606</v>
      </c>
      <c r="AI29" s="177">
        <f t="shared" si="29"/>
        <v>0.28694099812502494</v>
      </c>
      <c r="AJ29" s="177">
        <f t="shared" si="29"/>
        <v>0.49131673169817047</v>
      </c>
      <c r="AK29" s="177">
        <f t="shared" si="29"/>
        <v>0.4927811095733593</v>
      </c>
      <c r="AL29" s="177" t="e">
        <f t="shared" si="29"/>
        <v>#DIV/0!</v>
      </c>
      <c r="AM29" s="177" t="e">
        <f t="shared" si="29"/>
        <v>#DIV/0!</v>
      </c>
      <c r="AN29" s="177" t="e">
        <f t="shared" si="29"/>
        <v>#DIV/0!</v>
      </c>
      <c r="AO29" s="224"/>
      <c r="AP29" s="176">
        <f>AP28/(AP26+AP27)</f>
        <v>0.37176725259400334</v>
      </c>
      <c r="AQ29" s="193">
        <f>AQ28/(AQ26+AQ27)</f>
        <v>0.30954843903666901</v>
      </c>
      <c r="AR29" s="47"/>
      <c r="AS29" s="47"/>
      <c r="AT29" s="47"/>
      <c r="AV29" s="47"/>
      <c r="AW29" s="47"/>
      <c r="AX29" s="47"/>
      <c r="AY29" s="47"/>
      <c r="AZ29" s="47"/>
    </row>
    <row r="30" spans="1:52">
      <c r="A30" s="151"/>
      <c r="B30" s="178"/>
      <c r="C30" s="178"/>
      <c r="D30" s="178"/>
      <c r="E30" s="178"/>
      <c r="F30" s="178"/>
      <c r="G30" s="186"/>
      <c r="H30" s="178"/>
      <c r="I30" s="151"/>
      <c r="J30" s="178"/>
      <c r="K30" s="178"/>
      <c r="L30" s="178"/>
      <c r="M30" s="178"/>
      <c r="N30" s="178"/>
      <c r="O30" s="178"/>
      <c r="P30" s="188"/>
      <c r="Q30" s="151"/>
      <c r="R30" s="189"/>
      <c r="S30" s="189"/>
      <c r="T30" s="189"/>
      <c r="U30" s="189"/>
      <c r="V30" s="189"/>
      <c r="W30" s="189"/>
      <c r="X30" s="189"/>
      <c r="Y30" s="151"/>
      <c r="Z30" s="188"/>
      <c r="AA30" s="178"/>
      <c r="AB30" s="178"/>
      <c r="AC30" s="178"/>
      <c r="AD30" s="178"/>
      <c r="AE30" s="178"/>
      <c r="AF30" s="178"/>
      <c r="AG30" s="151"/>
      <c r="AH30" s="178"/>
      <c r="AI30" s="188"/>
      <c r="AJ30" s="189"/>
      <c r="AK30" s="189"/>
      <c r="AL30" s="189"/>
      <c r="AM30" s="189"/>
      <c r="AN30" s="189"/>
      <c r="AO30" s="189"/>
      <c r="AP30" s="151"/>
      <c r="AQ30" s="47"/>
      <c r="AR30" s="47"/>
      <c r="AS30" s="47"/>
      <c r="AU30" s="47"/>
      <c r="AV30" s="47"/>
      <c r="AW30" s="47"/>
      <c r="AX30" s="47"/>
      <c r="AY30" s="47"/>
    </row>
    <row r="31" spans="1:52" s="121" customFormat="1">
      <c r="A31" s="179" t="s">
        <v>16</v>
      </c>
      <c r="B31" s="180"/>
      <c r="C31" s="180">
        <v>3600</v>
      </c>
      <c r="D31" s="180">
        <v>8230</v>
      </c>
      <c r="E31" s="180">
        <v>7463</v>
      </c>
      <c r="F31" s="180">
        <v>3519</v>
      </c>
      <c r="G31" s="180">
        <v>3220</v>
      </c>
      <c r="H31" s="219">
        <v>0</v>
      </c>
      <c r="I31" s="179"/>
      <c r="J31" s="180">
        <v>4294</v>
      </c>
      <c r="K31" s="219">
        <v>0</v>
      </c>
      <c r="L31" s="180">
        <v>9122</v>
      </c>
      <c r="M31" s="180">
        <v>5850</v>
      </c>
      <c r="N31" s="180">
        <v>4351</v>
      </c>
      <c r="O31" s="180">
        <v>4330</v>
      </c>
      <c r="P31" s="219">
        <v>0</v>
      </c>
      <c r="Q31" s="179"/>
      <c r="R31" s="180">
        <v>4270</v>
      </c>
      <c r="S31" s="180">
        <v>5767</v>
      </c>
      <c r="T31" s="180">
        <v>5370</v>
      </c>
      <c r="U31" s="180">
        <v>4580</v>
      </c>
      <c r="V31" s="180">
        <v>4703</v>
      </c>
      <c r="W31" s="180">
        <v>4990</v>
      </c>
      <c r="X31" s="219">
        <v>0</v>
      </c>
      <c r="Y31" s="179"/>
      <c r="Z31" s="180">
        <v>4130</v>
      </c>
      <c r="AA31" s="180">
        <v>5187</v>
      </c>
      <c r="AB31" s="180">
        <v>4070</v>
      </c>
      <c r="AC31" s="180">
        <v>4655</v>
      </c>
      <c r="AD31" s="180">
        <v>5220</v>
      </c>
      <c r="AE31" s="180">
        <v>4290</v>
      </c>
      <c r="AF31" s="219">
        <v>0</v>
      </c>
      <c r="AG31" s="179"/>
      <c r="AH31" s="180">
        <v>5738</v>
      </c>
      <c r="AI31" s="180">
        <v>4280</v>
      </c>
      <c r="AJ31" s="180">
        <v>5010</v>
      </c>
      <c r="AK31" s="180">
        <v>3465</v>
      </c>
      <c r="AL31" s="180"/>
      <c r="AM31" s="180"/>
      <c r="AN31" s="180"/>
      <c r="AO31" s="180">
        <f>C31+D31+E31+F31+G31+H31+J31+K31+L31+M31+N31+O31+P31+R31+S31+T31+U31+V31+W31+X31+Z31+AA31+AB31+AC31+AD31+AE31+AF31+AH31+AI31+AJ31+AK31+AL31+AM31+AN31</f>
        <v>129704</v>
      </c>
      <c r="AP31" s="194" t="s">
        <v>16</v>
      </c>
      <c r="AQ31" s="214"/>
      <c r="AR31" s="196"/>
      <c r="AS31" s="196"/>
      <c r="AU31" s="196"/>
      <c r="AV31" s="196"/>
      <c r="AW31" s="196"/>
      <c r="AX31" s="196"/>
      <c r="AY31" s="196"/>
    </row>
    <row r="32" spans="1:52" s="121" customFormat="1">
      <c r="A32" s="181" t="s">
        <v>17</v>
      </c>
      <c r="B32" s="160"/>
      <c r="C32" s="182">
        <v>23947</v>
      </c>
      <c r="D32" s="160">
        <v>24189</v>
      </c>
      <c r="E32" s="160">
        <v>48440</v>
      </c>
      <c r="F32" s="219">
        <v>0</v>
      </c>
      <c r="G32" s="182">
        <v>24219</v>
      </c>
      <c r="H32" s="219">
        <v>0</v>
      </c>
      <c r="I32" s="181"/>
      <c r="J32" s="182">
        <v>25193</v>
      </c>
      <c r="K32" s="182">
        <v>48406</v>
      </c>
      <c r="L32" s="160">
        <v>23843</v>
      </c>
      <c r="M32" s="160">
        <v>24749</v>
      </c>
      <c r="N32" s="182">
        <v>48962</v>
      </c>
      <c r="O32" s="182">
        <v>23982</v>
      </c>
      <c r="P32" s="219">
        <v>0</v>
      </c>
      <c r="Q32" s="181"/>
      <c r="R32" s="160">
        <v>24390</v>
      </c>
      <c r="S32" s="160">
        <v>48293</v>
      </c>
      <c r="T32" s="160">
        <v>25067</v>
      </c>
      <c r="U32" s="160">
        <v>24431</v>
      </c>
      <c r="V32" s="160">
        <v>24495</v>
      </c>
      <c r="W32" s="160">
        <v>24740</v>
      </c>
      <c r="X32" s="219">
        <v>0</v>
      </c>
      <c r="Y32" s="181"/>
      <c r="Z32" s="160">
        <v>24996</v>
      </c>
      <c r="AA32" s="219">
        <v>0</v>
      </c>
      <c r="AB32" s="160">
        <v>24484</v>
      </c>
      <c r="AC32" s="160">
        <v>47529</v>
      </c>
      <c r="AD32" s="160">
        <v>23918</v>
      </c>
      <c r="AE32" s="160">
        <v>24284</v>
      </c>
      <c r="AF32" s="219">
        <v>0</v>
      </c>
      <c r="AG32" s="181"/>
      <c r="AH32" s="160">
        <v>24512</v>
      </c>
      <c r="AI32" s="160">
        <v>24491</v>
      </c>
      <c r="AJ32" s="160">
        <v>50016</v>
      </c>
      <c r="AK32" s="160">
        <v>25376</v>
      </c>
      <c r="AL32" s="190"/>
      <c r="AM32" s="160"/>
      <c r="AN32" s="160"/>
      <c r="AO32" s="180">
        <f>C32+D32+E32+F32+G32+H32+J32+K32+L32+M32+N32+O32+P32+R32+S32+T32+U32+V32+W32+X32+Z32+AA32+AB32+AC32+AD32+AE32+AF32+AH32+AI32+AJ32+AK32+AL32+AM32+AN32</f>
        <v>756952</v>
      </c>
      <c r="AP32" s="195" t="s">
        <v>17</v>
      </c>
      <c r="AQ32" s="196"/>
      <c r="AR32" s="196"/>
      <c r="AS32" s="196"/>
      <c r="AT32" s="196"/>
    </row>
    <row r="33" spans="1:52" s="121" customFormat="1">
      <c r="A33" s="319" t="s">
        <v>174</v>
      </c>
      <c r="B33" s="160"/>
      <c r="C33" s="219">
        <v>0</v>
      </c>
      <c r="D33" s="219">
        <v>0</v>
      </c>
      <c r="E33" s="160">
        <v>1440</v>
      </c>
      <c r="F33" s="219">
        <v>0</v>
      </c>
      <c r="G33" s="219">
        <v>0</v>
      </c>
      <c r="H33" s="219">
        <v>0</v>
      </c>
      <c r="I33" s="181"/>
      <c r="J33" s="219">
        <v>0</v>
      </c>
      <c r="K33" s="219">
        <v>0</v>
      </c>
      <c r="L33" s="219">
        <v>0</v>
      </c>
      <c r="M33" s="219">
        <v>0</v>
      </c>
      <c r="N33" s="219">
        <v>0</v>
      </c>
      <c r="O33" s="219">
        <v>0</v>
      </c>
      <c r="P33" s="219">
        <v>0</v>
      </c>
      <c r="Q33" s="181"/>
      <c r="R33" s="160">
        <v>3190</v>
      </c>
      <c r="S33" s="219">
        <v>0</v>
      </c>
      <c r="T33" s="219">
        <v>0</v>
      </c>
      <c r="U33" s="219">
        <v>0</v>
      </c>
      <c r="V33" s="219">
        <v>0</v>
      </c>
      <c r="W33" s="219">
        <v>0</v>
      </c>
      <c r="X33" s="219">
        <v>0</v>
      </c>
      <c r="Y33" s="181"/>
      <c r="Z33" s="219">
        <v>0</v>
      </c>
      <c r="AA33" s="219">
        <v>0</v>
      </c>
      <c r="AB33" s="219">
        <v>0</v>
      </c>
      <c r="AC33" s="219">
        <v>0</v>
      </c>
      <c r="AD33" s="219">
        <v>0</v>
      </c>
      <c r="AE33" s="219">
        <v>0</v>
      </c>
      <c r="AF33" s="219">
        <v>0</v>
      </c>
      <c r="AG33" s="181"/>
      <c r="AH33" s="219">
        <v>0</v>
      </c>
      <c r="AI33" s="219">
        <v>0</v>
      </c>
      <c r="AJ33" s="219">
        <v>0</v>
      </c>
      <c r="AK33" s="219">
        <v>0</v>
      </c>
      <c r="AL33" s="190"/>
      <c r="AM33" s="160"/>
      <c r="AN33" s="160"/>
      <c r="AO33" s="180">
        <f>C33+D33+E33+F33+G33+H33+J33+K33+L33+M33+N33+O33+P33+R33+S33+T33+U33+V33+W33+X33+Z33+AA33+AB33+AC33+AD33+AE33+AF33+AH33+AI33+AJ33+AK33+AL33+AM33+AN33</f>
        <v>4630</v>
      </c>
      <c r="AP33" s="227" t="s">
        <v>171</v>
      </c>
      <c r="AQ33" s="196"/>
      <c r="AR33" s="196"/>
      <c r="AS33" s="196"/>
      <c r="AT33" s="196"/>
    </row>
    <row r="34" spans="1:52" ht="15.75" thickBot="1">
      <c r="A34" s="310" t="s">
        <v>20</v>
      </c>
      <c r="B34" s="163" t="s">
        <v>3</v>
      </c>
      <c r="C34" s="163" t="s">
        <v>4</v>
      </c>
      <c r="D34" s="163" t="s">
        <v>4</v>
      </c>
      <c r="E34" s="163" t="s">
        <v>5</v>
      </c>
      <c r="F34" s="163" t="s">
        <v>6</v>
      </c>
      <c r="G34" s="163" t="s">
        <v>7</v>
      </c>
      <c r="H34" s="163" t="s">
        <v>2</v>
      </c>
      <c r="I34" s="163"/>
      <c r="J34" s="163" t="s">
        <v>3</v>
      </c>
      <c r="K34" s="163" t="s">
        <v>4</v>
      </c>
      <c r="L34" s="163" t="s">
        <v>4</v>
      </c>
      <c r="M34" s="163" t="s">
        <v>5</v>
      </c>
      <c r="N34" s="163" t="s">
        <v>6</v>
      </c>
      <c r="O34" s="163" t="s">
        <v>7</v>
      </c>
      <c r="P34" s="163" t="s">
        <v>2</v>
      </c>
      <c r="Q34" s="163"/>
      <c r="R34" s="163" t="s">
        <v>3</v>
      </c>
      <c r="S34" s="163" t="s">
        <v>4</v>
      </c>
      <c r="T34" s="163" t="s">
        <v>4</v>
      </c>
      <c r="U34" s="163" t="s">
        <v>5</v>
      </c>
      <c r="V34" s="163" t="s">
        <v>6</v>
      </c>
      <c r="W34" s="163" t="s">
        <v>7</v>
      </c>
      <c r="X34" s="163" t="s">
        <v>2</v>
      </c>
      <c r="Y34" s="163"/>
      <c r="Z34" s="163" t="s">
        <v>3</v>
      </c>
      <c r="AA34" s="163" t="s">
        <v>4</v>
      </c>
      <c r="AB34" s="163" t="s">
        <v>4</v>
      </c>
      <c r="AC34" s="163" t="s">
        <v>5</v>
      </c>
      <c r="AD34" s="163" t="s">
        <v>6</v>
      </c>
      <c r="AE34" s="163" t="s">
        <v>7</v>
      </c>
      <c r="AF34" s="163" t="s">
        <v>2</v>
      </c>
      <c r="AG34" s="163"/>
      <c r="AH34" s="163" t="s">
        <v>3</v>
      </c>
      <c r="AI34" s="163" t="s">
        <v>4</v>
      </c>
      <c r="AJ34" s="163" t="s">
        <v>4</v>
      </c>
      <c r="AK34" s="163" t="s">
        <v>5</v>
      </c>
      <c r="AL34" s="163" t="s">
        <v>6</v>
      </c>
      <c r="AM34" s="163" t="s">
        <v>7</v>
      </c>
      <c r="AN34" s="163" t="s">
        <v>2</v>
      </c>
      <c r="AO34" s="163"/>
      <c r="AP34" s="151"/>
      <c r="AQ34" s="47"/>
      <c r="AR34" s="47"/>
      <c r="AS34" s="47"/>
      <c r="AT34" s="47"/>
      <c r="AU34" s="47"/>
    </row>
    <row r="35" spans="1:52" ht="15.75" thickBot="1">
      <c r="A35" s="183" t="s">
        <v>8</v>
      </c>
      <c r="B35" s="168"/>
      <c r="C35" s="168"/>
      <c r="D35" s="168"/>
      <c r="E35" s="169"/>
      <c r="F35" s="169">
        <v>44652</v>
      </c>
      <c r="G35" s="169">
        <v>44653</v>
      </c>
      <c r="H35" s="169">
        <v>44654</v>
      </c>
      <c r="I35" s="166" t="s">
        <v>9</v>
      </c>
      <c r="J35" s="169">
        <v>44655</v>
      </c>
      <c r="K35" s="169">
        <v>44656</v>
      </c>
      <c r="L35" s="169">
        <v>44657</v>
      </c>
      <c r="M35" s="169">
        <v>44658</v>
      </c>
      <c r="N35" s="169">
        <v>44659</v>
      </c>
      <c r="O35" s="169">
        <v>44660</v>
      </c>
      <c r="P35" s="169">
        <v>44661</v>
      </c>
      <c r="Q35" s="166" t="s">
        <v>9</v>
      </c>
      <c r="R35" s="169">
        <v>44662</v>
      </c>
      <c r="S35" s="169">
        <v>44663</v>
      </c>
      <c r="T35" s="169">
        <v>44664</v>
      </c>
      <c r="U35" s="169">
        <v>44665</v>
      </c>
      <c r="V35" s="169">
        <v>44666</v>
      </c>
      <c r="W35" s="169">
        <v>44667</v>
      </c>
      <c r="X35" s="169">
        <v>44668</v>
      </c>
      <c r="Y35" s="166" t="s">
        <v>9</v>
      </c>
      <c r="Z35" s="169">
        <v>44669</v>
      </c>
      <c r="AA35" s="169">
        <v>44670</v>
      </c>
      <c r="AB35" s="169">
        <v>44671</v>
      </c>
      <c r="AC35" s="169">
        <v>44672</v>
      </c>
      <c r="AD35" s="169">
        <v>44673</v>
      </c>
      <c r="AE35" s="169">
        <v>44674</v>
      </c>
      <c r="AF35" s="169">
        <v>44675</v>
      </c>
      <c r="AG35" s="166" t="s">
        <v>9</v>
      </c>
      <c r="AH35" s="169">
        <v>44676</v>
      </c>
      <c r="AI35" s="169">
        <v>44677</v>
      </c>
      <c r="AJ35" s="169">
        <v>44678</v>
      </c>
      <c r="AK35" s="169">
        <v>44679</v>
      </c>
      <c r="AL35" s="169">
        <v>44680</v>
      </c>
      <c r="AM35" s="169">
        <v>44681</v>
      </c>
      <c r="AN35" s="169"/>
      <c r="AO35" s="221"/>
      <c r="AP35" s="166" t="s">
        <v>9</v>
      </c>
      <c r="AQ35" s="191" t="s">
        <v>10</v>
      </c>
      <c r="AV35" s="47"/>
      <c r="AW35" s="47"/>
      <c r="AX35" s="47"/>
      <c r="AY35" s="47"/>
      <c r="AZ35" s="47"/>
    </row>
    <row r="36" spans="1:52">
      <c r="A36" s="183" t="s">
        <v>11</v>
      </c>
      <c r="B36" s="172"/>
      <c r="C36" s="173"/>
      <c r="D36" s="173"/>
      <c r="E36" s="173"/>
      <c r="F36" s="173">
        <v>134124</v>
      </c>
      <c r="G36" s="173">
        <v>66502</v>
      </c>
      <c r="H36" s="173"/>
      <c r="I36" s="185">
        <f>SUM(B36:H36)</f>
        <v>200626</v>
      </c>
      <c r="J36" s="173">
        <v>59170</v>
      </c>
      <c r="K36" s="173">
        <v>92023</v>
      </c>
      <c r="L36" s="173">
        <v>78669</v>
      </c>
      <c r="M36" s="173">
        <v>81215</v>
      </c>
      <c r="N36" s="173">
        <v>89335</v>
      </c>
      <c r="O36" s="173">
        <v>85844</v>
      </c>
      <c r="P36" s="173">
        <v>0</v>
      </c>
      <c r="Q36" s="185">
        <f>SUM(J36:P36)</f>
        <v>486256</v>
      </c>
      <c r="R36" s="173">
        <v>61978</v>
      </c>
      <c r="S36" s="173">
        <v>78412</v>
      </c>
      <c r="T36" s="173">
        <v>14016</v>
      </c>
      <c r="U36" s="173">
        <v>43405</v>
      </c>
      <c r="V36" s="173">
        <v>98796</v>
      </c>
      <c r="W36" s="173">
        <v>128628</v>
      </c>
      <c r="X36" s="173">
        <v>0</v>
      </c>
      <c r="Y36" s="185">
        <f>SUM(R36:X36)</f>
        <v>425235</v>
      </c>
      <c r="Z36" s="173">
        <v>89431</v>
      </c>
      <c r="AA36" s="173">
        <v>75433</v>
      </c>
      <c r="AB36" s="173">
        <v>102701</v>
      </c>
      <c r="AC36" s="173">
        <v>79675</v>
      </c>
      <c r="AD36" s="173">
        <v>24241</v>
      </c>
      <c r="AE36" s="173">
        <v>76142</v>
      </c>
      <c r="AF36" s="173">
        <v>3645</v>
      </c>
      <c r="AG36" s="185">
        <f>SUM(Z36:AF36)</f>
        <v>451268</v>
      </c>
      <c r="AH36" s="173">
        <v>111631</v>
      </c>
      <c r="AI36" s="173">
        <v>94270</v>
      </c>
      <c r="AJ36" s="173">
        <v>110733</v>
      </c>
      <c r="AK36" s="173">
        <v>117327</v>
      </c>
      <c r="AL36" s="173">
        <v>97721</v>
      </c>
      <c r="AM36" s="173">
        <v>85570</v>
      </c>
      <c r="AN36" s="173"/>
      <c r="AO36" s="222"/>
      <c r="AP36" s="185">
        <f>SUM(AH36:AM36)</f>
        <v>617252</v>
      </c>
      <c r="AQ36" s="192">
        <f>I36+Q36+Y36+AG36+AP36</f>
        <v>2180637</v>
      </c>
      <c r="AR36" s="47"/>
      <c r="AS36" s="47"/>
      <c r="AT36" s="47"/>
      <c r="AV36" s="47"/>
      <c r="AW36" s="47"/>
      <c r="AX36" s="47"/>
      <c r="AY36" s="47"/>
      <c r="AZ36" s="47"/>
    </row>
    <row r="37" spans="1:52">
      <c r="A37" s="183" t="s">
        <v>178</v>
      </c>
      <c r="B37" s="172"/>
      <c r="C37" s="173"/>
      <c r="D37" s="173"/>
      <c r="E37" s="173"/>
      <c r="F37" s="173"/>
      <c r="G37" s="173">
        <v>15300</v>
      </c>
      <c r="H37" s="173"/>
      <c r="I37" s="185">
        <f>SUM(B37:H37)</f>
        <v>15300</v>
      </c>
      <c r="J37" s="173">
        <v>17680</v>
      </c>
      <c r="K37" s="173">
        <v>21268</v>
      </c>
      <c r="L37" s="173">
        <v>13748</v>
      </c>
      <c r="M37" s="173"/>
      <c r="N37" s="173">
        <v>11235</v>
      </c>
      <c r="O37" s="173">
        <v>17170</v>
      </c>
      <c r="P37" s="173"/>
      <c r="Q37" s="185">
        <f>SUM(J37:P37)</f>
        <v>81101</v>
      </c>
      <c r="R37" s="173">
        <v>29353</v>
      </c>
      <c r="S37" s="173">
        <v>19869</v>
      </c>
      <c r="T37" s="173">
        <v>7968</v>
      </c>
      <c r="U37" s="173"/>
      <c r="V37" s="173">
        <v>29312</v>
      </c>
      <c r="W37" s="173">
        <v>12841</v>
      </c>
      <c r="X37" s="173"/>
      <c r="Y37" s="185">
        <f>SUM(R37:X37)</f>
        <v>99343</v>
      </c>
      <c r="Z37" s="173">
        <v>29594</v>
      </c>
      <c r="AA37" s="173">
        <v>28000</v>
      </c>
      <c r="AB37" s="173">
        <v>49192</v>
      </c>
      <c r="AC37" s="173">
        <v>48679</v>
      </c>
      <c r="AD37" s="173">
        <v>59954</v>
      </c>
      <c r="AE37" s="173">
        <v>7109</v>
      </c>
      <c r="AF37" s="173"/>
      <c r="AG37" s="185">
        <f>SUM(Z37:AF37)</f>
        <v>222528</v>
      </c>
      <c r="AH37" s="173">
        <v>33506</v>
      </c>
      <c r="AI37" s="173">
        <v>26759</v>
      </c>
      <c r="AJ37" s="173">
        <v>27758</v>
      </c>
      <c r="AK37" s="173">
        <v>14530</v>
      </c>
      <c r="AL37" s="173">
        <v>4267</v>
      </c>
      <c r="AM37" s="173"/>
      <c r="AN37" s="173"/>
      <c r="AO37" s="222"/>
      <c r="AP37" s="185">
        <f>SUM(AH37:AM37)</f>
        <v>106820</v>
      </c>
      <c r="AQ37" s="192">
        <f>I37+Q37+Y37+AG37+AP37</f>
        <v>525092</v>
      </c>
      <c r="AR37" s="317">
        <f>AQ36+AQ37</f>
        <v>2705729</v>
      </c>
      <c r="AS37" s="47"/>
      <c r="AT37" s="47"/>
      <c r="AV37" s="47"/>
      <c r="AW37" s="47"/>
      <c r="AX37" s="47"/>
      <c r="AY37" s="47"/>
      <c r="AZ37" s="47"/>
    </row>
    <row r="38" spans="1:52">
      <c r="A38" s="183" t="s">
        <v>13</v>
      </c>
      <c r="B38" s="173">
        <f>B41+B42</f>
        <v>0</v>
      </c>
      <c r="C38" s="173">
        <f t="shared" ref="C38:E38" si="30">C41+C42</f>
        <v>0</v>
      </c>
      <c r="D38" s="173">
        <f t="shared" si="30"/>
        <v>0</v>
      </c>
      <c r="E38" s="173">
        <f t="shared" si="30"/>
        <v>0</v>
      </c>
      <c r="F38" s="173">
        <f>F41+F42+F43</f>
        <v>29664</v>
      </c>
      <c r="G38" s="173">
        <f>G41+G42+G43</f>
        <v>29698</v>
      </c>
      <c r="H38" s="173">
        <f>H41+H42+H43</f>
        <v>0</v>
      </c>
      <c r="I38" s="185">
        <f>SUM(B38:H38)</f>
        <v>59362</v>
      </c>
      <c r="J38" s="173">
        <f>J41+J42</f>
        <v>30035</v>
      </c>
      <c r="K38" s="173">
        <f>K41+K42+K43</f>
        <v>29917.5</v>
      </c>
      <c r="L38" s="173">
        <f>L41+L42+L43</f>
        <v>37016.5</v>
      </c>
      <c r="M38" s="173">
        <f t="shared" ref="M38:O38" si="31">M41+M42+M43</f>
        <v>27362.5</v>
      </c>
      <c r="N38" s="173">
        <f t="shared" si="31"/>
        <v>28882.5</v>
      </c>
      <c r="O38" s="173">
        <f t="shared" si="31"/>
        <v>28071</v>
      </c>
      <c r="P38" s="173">
        <f t="shared" ref="P38" si="32">P41+P42+P43</f>
        <v>0</v>
      </c>
      <c r="Q38" s="185">
        <f>SUM(J38:P38)</f>
        <v>181285</v>
      </c>
      <c r="R38" s="173">
        <f t="shared" ref="R38:W38" si="33">R41+R42</f>
        <v>47350</v>
      </c>
      <c r="S38" s="173">
        <f t="shared" si="33"/>
        <v>24851</v>
      </c>
      <c r="T38" s="173">
        <f t="shared" si="33"/>
        <v>34624</v>
      </c>
      <c r="U38" s="173">
        <f t="shared" si="33"/>
        <v>27697</v>
      </c>
      <c r="V38" s="173">
        <f t="shared" si="33"/>
        <v>26152</v>
      </c>
      <c r="W38" s="173">
        <f t="shared" si="33"/>
        <v>29874</v>
      </c>
      <c r="X38" s="173">
        <f t="shared" ref="X38" si="34">X41+X42</f>
        <v>0</v>
      </c>
      <c r="Y38" s="185">
        <f>SUM(R38:X38)</f>
        <v>190548</v>
      </c>
      <c r="Z38" s="173">
        <f>Z41+Z42</f>
        <v>58871</v>
      </c>
      <c r="AA38" s="173">
        <f>AA41+AA42</f>
        <v>54812</v>
      </c>
      <c r="AB38" s="173">
        <f t="shared" ref="AB38:AF38" si="35">AB41+AB42</f>
        <v>24717</v>
      </c>
      <c r="AC38" s="173">
        <f t="shared" si="35"/>
        <v>34102</v>
      </c>
      <c r="AD38" s="173">
        <f t="shared" si="35"/>
        <v>49487</v>
      </c>
      <c r="AE38" s="173">
        <f t="shared" si="35"/>
        <v>4970</v>
      </c>
      <c r="AF38" s="173">
        <f t="shared" si="35"/>
        <v>0</v>
      </c>
      <c r="AG38" s="185">
        <f>SUM(Z38:AF38)</f>
        <v>226959</v>
      </c>
      <c r="AH38" s="173">
        <f>AH41+AH42</f>
        <v>52597</v>
      </c>
      <c r="AI38" s="173">
        <f t="shared" ref="AI38:AM38" si="36">AI41+AI42+AI43</f>
        <v>24772</v>
      </c>
      <c r="AJ38" s="173">
        <f t="shared" si="36"/>
        <v>34158</v>
      </c>
      <c r="AK38" s="173">
        <f t="shared" si="36"/>
        <v>28958</v>
      </c>
      <c r="AL38" s="173">
        <f t="shared" si="36"/>
        <v>30150</v>
      </c>
      <c r="AM38" s="173">
        <f t="shared" si="36"/>
        <v>24359</v>
      </c>
      <c r="AN38" s="173">
        <f t="shared" ref="AN38" si="37">AN41+AN42+AN43</f>
        <v>0</v>
      </c>
      <c r="AO38" s="222"/>
      <c r="AP38" s="185">
        <f>SUM(AH38:AM38)</f>
        <v>194994</v>
      </c>
      <c r="AQ38" s="192">
        <f>I38+Q38+Y38+AG38+AP38</f>
        <v>853148</v>
      </c>
      <c r="AR38" s="47" t="s">
        <v>14</v>
      </c>
      <c r="AS38" s="47"/>
      <c r="AT38" s="47"/>
      <c r="AV38" s="47"/>
      <c r="AW38" s="47"/>
      <c r="AX38" s="47"/>
      <c r="AY38" s="47"/>
      <c r="AZ38" s="47"/>
    </row>
    <row r="39" spans="1:52" ht="15.75" thickBot="1">
      <c r="A39" s="183" t="s">
        <v>15</v>
      </c>
      <c r="B39" s="177" t="e">
        <f t="shared" ref="B39:I39" si="38">B38/B36</f>
        <v>#DIV/0!</v>
      </c>
      <c r="C39" s="177" t="e">
        <f t="shared" si="38"/>
        <v>#DIV/0!</v>
      </c>
      <c r="D39" s="177" t="e">
        <f t="shared" si="38"/>
        <v>#DIV/0!</v>
      </c>
      <c r="E39" s="177" t="e">
        <f t="shared" si="38"/>
        <v>#DIV/0!</v>
      </c>
      <c r="F39" s="177">
        <f t="shared" si="38"/>
        <v>0.22116847096716472</v>
      </c>
      <c r="G39" s="177">
        <f t="shared" si="38"/>
        <v>0.44657303539743165</v>
      </c>
      <c r="H39" s="177" t="e">
        <f t="shared" si="38"/>
        <v>#DIV/0!</v>
      </c>
      <c r="I39" s="176">
        <f t="shared" si="38"/>
        <v>0.2958838834448177</v>
      </c>
      <c r="J39" s="177">
        <f t="shared" ref="J39:R39" si="39">J38/J36</f>
        <v>0.50760520534054421</v>
      </c>
      <c r="K39" s="177">
        <f t="shared" si="39"/>
        <v>0.32510894015626529</v>
      </c>
      <c r="L39" s="177">
        <f t="shared" si="39"/>
        <v>0.47053477227370377</v>
      </c>
      <c r="M39" s="177">
        <f t="shared" si="39"/>
        <v>0.3369143631102629</v>
      </c>
      <c r="N39" s="177">
        <f t="shared" si="39"/>
        <v>0.32330553534448986</v>
      </c>
      <c r="O39" s="177">
        <f t="shared" si="39"/>
        <v>0.32700013978845349</v>
      </c>
      <c r="P39" s="177" t="e">
        <f t="shared" si="39"/>
        <v>#DIV/0!</v>
      </c>
      <c r="Q39" s="176">
        <f t="shared" si="39"/>
        <v>0.37281802178276463</v>
      </c>
      <c r="R39" s="177">
        <f t="shared" si="39"/>
        <v>0.76398076736906639</v>
      </c>
      <c r="S39" s="177">
        <f t="shared" ref="S39:Y39" si="40">S38/S36</f>
        <v>0.31692853134724275</v>
      </c>
      <c r="T39" s="177">
        <f t="shared" si="40"/>
        <v>2.4703196347031962</v>
      </c>
      <c r="U39" s="177">
        <f t="shared" si="40"/>
        <v>0.63810620896210113</v>
      </c>
      <c r="V39" s="177">
        <f t="shared" si="40"/>
        <v>0.26470707316085673</v>
      </c>
      <c r="W39" s="177">
        <f>W38/W36</f>
        <v>0.23225114283048792</v>
      </c>
      <c r="X39" s="177" t="e">
        <f t="shared" si="40"/>
        <v>#DIV/0!</v>
      </c>
      <c r="Y39" s="176">
        <f t="shared" si="40"/>
        <v>0.44810046209742849</v>
      </c>
      <c r="Z39" s="177">
        <f t="shared" ref="Z39:AG39" si="41">Z38/Z36</f>
        <v>0.65828404020977072</v>
      </c>
      <c r="AA39" s="177">
        <f t="shared" si="41"/>
        <v>0.72663158034282083</v>
      </c>
      <c r="AB39" s="177">
        <f t="shared" si="41"/>
        <v>0.24066951636303444</v>
      </c>
      <c r="AC39" s="177">
        <f t="shared" si="41"/>
        <v>0.42801380608722939</v>
      </c>
      <c r="AD39" s="177">
        <f t="shared" si="41"/>
        <v>2.0414586856977848</v>
      </c>
      <c r="AE39" s="177">
        <f t="shared" si="41"/>
        <v>6.5272779806151662E-2</v>
      </c>
      <c r="AF39" s="177">
        <f t="shared" si="41"/>
        <v>0</v>
      </c>
      <c r="AG39" s="176">
        <f t="shared" si="41"/>
        <v>0.50293617096714149</v>
      </c>
      <c r="AH39" s="177">
        <f t="shared" ref="AH39:AN39" si="42">AH38/AH36</f>
        <v>0.47116840304216573</v>
      </c>
      <c r="AI39" s="177">
        <f t="shared" si="42"/>
        <v>0.26277712952158694</v>
      </c>
      <c r="AJ39" s="177">
        <f t="shared" si="42"/>
        <v>0.30847172929479016</v>
      </c>
      <c r="AK39" s="177">
        <f t="shared" si="42"/>
        <v>0.24681445873498853</v>
      </c>
      <c r="AL39" s="177">
        <f t="shared" si="42"/>
        <v>0.30853143131977773</v>
      </c>
      <c r="AM39" s="177">
        <f t="shared" si="42"/>
        <v>0.28466752366483583</v>
      </c>
      <c r="AN39" s="177" t="e">
        <f t="shared" si="42"/>
        <v>#DIV/0!</v>
      </c>
      <c r="AO39" s="224"/>
      <c r="AP39" s="176">
        <f>AP38/(AP36+AP37)</f>
        <v>0.26930194787258727</v>
      </c>
      <c r="AQ39" s="193">
        <f>AQ38/(AQ36+AQ37)</f>
        <v>0.31531169603459919</v>
      </c>
      <c r="AR39" s="47"/>
      <c r="AS39" s="47"/>
      <c r="AT39" s="47"/>
      <c r="AV39" s="47"/>
      <c r="AW39" s="47"/>
      <c r="AX39" s="47"/>
      <c r="AY39" s="47"/>
      <c r="AZ39" s="47"/>
    </row>
    <row r="40" spans="1:52">
      <c r="A40" s="151"/>
      <c r="B40" s="178"/>
      <c r="C40" s="178"/>
      <c r="D40" s="178"/>
      <c r="E40" s="178"/>
      <c r="F40" s="178"/>
      <c r="G40" s="186"/>
      <c r="H40" s="178"/>
      <c r="I40" s="151"/>
      <c r="J40" s="178"/>
      <c r="K40" s="178"/>
      <c r="L40" s="178"/>
      <c r="M40" s="178"/>
      <c r="N40" s="178"/>
      <c r="O40" s="178"/>
      <c r="P40" s="188"/>
      <c r="Q40" s="151"/>
      <c r="R40" s="189"/>
      <c r="S40" s="189"/>
      <c r="T40" s="189"/>
      <c r="U40" s="189"/>
      <c r="V40" s="189"/>
      <c r="W40" s="189"/>
      <c r="X40" s="189"/>
      <c r="Y40" s="151"/>
      <c r="Z40" s="188"/>
      <c r="AA40" s="178"/>
      <c r="AB40" s="178"/>
      <c r="AC40" s="178"/>
      <c r="AD40" s="178"/>
      <c r="AE40" s="178"/>
      <c r="AF40" s="178"/>
      <c r="AG40" s="151"/>
      <c r="AH40" s="178"/>
      <c r="AI40" s="188"/>
      <c r="AJ40" s="189"/>
      <c r="AK40" s="189"/>
      <c r="AL40" s="189"/>
      <c r="AM40" s="189"/>
      <c r="AN40" s="189"/>
      <c r="AO40" s="189"/>
      <c r="AP40" s="151"/>
      <c r="AQ40" s="47"/>
      <c r="AR40" s="47"/>
      <c r="AS40" s="47"/>
      <c r="AU40" s="47"/>
      <c r="AV40" s="47"/>
      <c r="AW40" s="47"/>
      <c r="AX40" s="47"/>
      <c r="AY40" s="47"/>
    </row>
    <row r="41" spans="1:52" s="121" customFormat="1">
      <c r="A41" s="179" t="s">
        <v>16</v>
      </c>
      <c r="B41" s="180"/>
      <c r="C41" s="180"/>
      <c r="D41" s="180"/>
      <c r="E41" s="180"/>
      <c r="F41" s="121">
        <v>5007</v>
      </c>
      <c r="G41" s="180">
        <v>4990</v>
      </c>
      <c r="H41" s="219">
        <v>0</v>
      </c>
      <c r="I41" s="179"/>
      <c r="J41" s="180">
        <v>5380</v>
      </c>
      <c r="K41" s="180">
        <v>4038</v>
      </c>
      <c r="L41" s="180">
        <v>12418</v>
      </c>
      <c r="M41" s="180">
        <v>3002</v>
      </c>
      <c r="N41" s="180">
        <v>4660</v>
      </c>
      <c r="O41" s="180">
        <v>3601</v>
      </c>
      <c r="P41" s="219">
        <v>0</v>
      </c>
      <c r="Q41" s="179"/>
      <c r="R41" s="180">
        <v>0</v>
      </c>
      <c r="S41" s="180">
        <v>0</v>
      </c>
      <c r="T41" s="180">
        <v>9684</v>
      </c>
      <c r="U41" s="180">
        <v>3460</v>
      </c>
      <c r="V41" s="180">
        <v>2890</v>
      </c>
      <c r="W41" s="180">
        <v>5420</v>
      </c>
      <c r="X41" s="219">
        <v>0</v>
      </c>
      <c r="Y41" s="179"/>
      <c r="Z41" s="180">
        <v>8408</v>
      </c>
      <c r="AA41" s="180">
        <v>4890</v>
      </c>
      <c r="AB41" s="180">
        <v>0</v>
      </c>
      <c r="AC41" s="180">
        <v>9614</v>
      </c>
      <c r="AD41" s="180">
        <v>0</v>
      </c>
      <c r="AE41" s="180">
        <v>4970</v>
      </c>
      <c r="AF41" s="219">
        <v>0</v>
      </c>
      <c r="AG41" s="179"/>
      <c r="AH41" s="180">
        <v>3449</v>
      </c>
      <c r="AI41" s="219">
        <v>0</v>
      </c>
      <c r="AJ41" s="180">
        <v>10660</v>
      </c>
      <c r="AK41" s="180">
        <v>4912</v>
      </c>
      <c r="AL41" s="180">
        <v>5149</v>
      </c>
      <c r="AM41" s="219">
        <v>0</v>
      </c>
      <c r="AN41" s="219">
        <v>0</v>
      </c>
      <c r="AO41" s="180">
        <f>F41+G41+H41+J41+K41+L41+M41+N41+O41+P41+R41+S41+T41+U41+V41+W41+X41+Z41+AA41+AB41+AC41+AD41+AE41+AF41+AH41+AI41+AJ41+AK41+AL41+AM41</f>
        <v>116602</v>
      </c>
      <c r="AP41" s="194" t="s">
        <v>16</v>
      </c>
      <c r="AR41" s="196"/>
      <c r="AS41" s="196"/>
      <c r="AU41" s="196"/>
      <c r="AV41" s="196"/>
      <c r="AW41" s="196"/>
      <c r="AX41" s="196"/>
      <c r="AY41" s="196"/>
    </row>
    <row r="42" spans="1:52" s="121" customFormat="1">
      <c r="A42" s="181" t="s">
        <v>17</v>
      </c>
      <c r="B42" s="160"/>
      <c r="C42" s="182"/>
      <c r="D42" s="160"/>
      <c r="E42" s="160"/>
      <c r="F42" s="309">
        <v>24657</v>
      </c>
      <c r="G42" s="182">
        <v>24708</v>
      </c>
      <c r="H42" s="219">
        <v>0</v>
      </c>
      <c r="I42" s="181"/>
      <c r="J42" s="182">
        <v>24655</v>
      </c>
      <c r="K42" s="182">
        <v>25879.5</v>
      </c>
      <c r="L42" s="160">
        <v>24598.5</v>
      </c>
      <c r="M42" s="160">
        <v>24360.5</v>
      </c>
      <c r="N42" s="182">
        <v>24222.5</v>
      </c>
      <c r="O42" s="182">
        <v>24470</v>
      </c>
      <c r="P42" s="219">
        <v>0</v>
      </c>
      <c r="Q42" s="181"/>
      <c r="R42" s="160">
        <v>47350</v>
      </c>
      <c r="S42" s="160">
        <v>24851</v>
      </c>
      <c r="T42" s="160">
        <v>24940</v>
      </c>
      <c r="U42" s="160">
        <v>24237</v>
      </c>
      <c r="V42" s="160">
        <v>23262</v>
      </c>
      <c r="W42" s="160">
        <v>24454</v>
      </c>
      <c r="X42" s="219">
        <v>0</v>
      </c>
      <c r="Y42" s="181"/>
      <c r="Z42" s="160">
        <v>50463</v>
      </c>
      <c r="AA42" s="160">
        <v>49922</v>
      </c>
      <c r="AB42" s="160">
        <v>24717</v>
      </c>
      <c r="AC42" s="160">
        <v>24488</v>
      </c>
      <c r="AD42" s="160">
        <v>49487</v>
      </c>
      <c r="AE42" s="160">
        <v>0</v>
      </c>
      <c r="AF42" s="219">
        <v>0</v>
      </c>
      <c r="AG42" s="181"/>
      <c r="AH42" s="160">
        <v>49148</v>
      </c>
      <c r="AI42" s="160">
        <v>24772</v>
      </c>
      <c r="AJ42" s="160">
        <v>23498</v>
      </c>
      <c r="AK42" s="160">
        <v>24046</v>
      </c>
      <c r="AL42" s="190">
        <v>25001</v>
      </c>
      <c r="AM42" s="160">
        <v>24359</v>
      </c>
      <c r="AN42" s="219">
        <v>0</v>
      </c>
      <c r="AO42" s="180">
        <f>F42+G42+H42+J42+K42+L42+M42+N42+O42+P42+R42+S42+T42+U42+V42+W42+X42+Z42+AA42+AB42+AC42+AD42+AE42+AF42+AH42+AI42+AJ42+AK42+AL42+AM42</f>
        <v>736546</v>
      </c>
      <c r="AP42" s="195" t="s">
        <v>17</v>
      </c>
      <c r="AQ42" s="196"/>
      <c r="AR42" s="196"/>
      <c r="AS42" s="196"/>
      <c r="AT42" s="196"/>
    </row>
    <row r="43" spans="1:52" s="121" customFormat="1">
      <c r="A43" s="319" t="s">
        <v>174</v>
      </c>
      <c r="B43" s="160"/>
      <c r="C43" s="182"/>
      <c r="D43" s="160"/>
      <c r="E43" s="160"/>
      <c r="F43" s="219">
        <v>0</v>
      </c>
      <c r="G43" s="219">
        <v>0</v>
      </c>
      <c r="H43" s="219">
        <v>0</v>
      </c>
      <c r="I43" s="181"/>
      <c r="J43" s="182">
        <v>4930</v>
      </c>
      <c r="K43" s="219">
        <v>0</v>
      </c>
      <c r="L43" s="219">
        <v>0</v>
      </c>
      <c r="M43" s="219">
        <v>0</v>
      </c>
      <c r="N43" s="219">
        <v>0</v>
      </c>
      <c r="O43" s="219">
        <v>0</v>
      </c>
      <c r="P43" s="219">
        <v>0</v>
      </c>
      <c r="Q43" s="181"/>
      <c r="R43" s="219">
        <v>0</v>
      </c>
      <c r="S43" s="219">
        <v>0</v>
      </c>
      <c r="T43" s="219">
        <v>0</v>
      </c>
      <c r="U43" s="219">
        <v>0</v>
      </c>
      <c r="V43" s="219">
        <v>0</v>
      </c>
      <c r="W43" s="219">
        <v>0</v>
      </c>
      <c r="X43" s="219">
        <v>0</v>
      </c>
      <c r="Y43" s="181"/>
      <c r="Z43" s="219">
        <v>0</v>
      </c>
      <c r="AA43" s="219">
        <v>0</v>
      </c>
      <c r="AB43" s="219">
        <v>0</v>
      </c>
      <c r="AC43" s="219">
        <v>0</v>
      </c>
      <c r="AD43" s="219">
        <v>0</v>
      </c>
      <c r="AE43" s="219">
        <v>0</v>
      </c>
      <c r="AF43" s="219">
        <v>0</v>
      </c>
      <c r="AG43" s="181"/>
      <c r="AH43" s="160">
        <v>3200</v>
      </c>
      <c r="AI43" s="219">
        <v>0</v>
      </c>
      <c r="AJ43" s="219">
        <v>0</v>
      </c>
      <c r="AK43" s="219">
        <v>0</v>
      </c>
      <c r="AL43" s="219">
        <v>0</v>
      </c>
      <c r="AM43" s="219">
        <v>0</v>
      </c>
      <c r="AN43" s="219">
        <v>0</v>
      </c>
      <c r="AO43" s="180">
        <f>F43+G43+H43+J43+K43+L43+M43+N43+O43+P43+R43+S43+T43+U43+V43+W43+X43+Z43+AA43+AB43+AC43+AD43+AE43+AF43+AH43+AI43+AJ43+AK43+AL43+AM43</f>
        <v>8130</v>
      </c>
      <c r="AP43" s="227" t="s">
        <v>171</v>
      </c>
      <c r="AQ43" s="196"/>
      <c r="AR43" s="196"/>
      <c r="AS43" s="196"/>
      <c r="AT43" s="196"/>
    </row>
    <row r="44" spans="1:52" s="161" customFormat="1" ht="15.75" thickBot="1">
      <c r="A44" s="310" t="s">
        <v>21</v>
      </c>
      <c r="B44" s="163" t="s">
        <v>3</v>
      </c>
      <c r="C44" s="163" t="s">
        <v>4</v>
      </c>
      <c r="D44" s="163" t="s">
        <v>4</v>
      </c>
      <c r="E44" s="163" t="s">
        <v>5</v>
      </c>
      <c r="F44" s="163" t="s">
        <v>6</v>
      </c>
      <c r="G44" s="163" t="s">
        <v>7</v>
      </c>
      <c r="H44" s="163" t="s">
        <v>2</v>
      </c>
      <c r="I44" s="163"/>
      <c r="J44" s="163" t="s">
        <v>3</v>
      </c>
      <c r="K44" s="163" t="s">
        <v>4</v>
      </c>
      <c r="L44" s="163" t="s">
        <v>4</v>
      </c>
      <c r="M44" s="163" t="s">
        <v>5</v>
      </c>
      <c r="N44" s="163" t="s">
        <v>6</v>
      </c>
      <c r="O44" s="163" t="s">
        <v>7</v>
      </c>
      <c r="P44" s="163" t="s">
        <v>2</v>
      </c>
      <c r="Q44" s="163"/>
      <c r="R44" s="163" t="s">
        <v>3</v>
      </c>
      <c r="S44" s="163" t="s">
        <v>4</v>
      </c>
      <c r="T44" s="163" t="s">
        <v>4</v>
      </c>
      <c r="U44" s="163" t="s">
        <v>5</v>
      </c>
      <c r="V44" s="163" t="s">
        <v>6</v>
      </c>
      <c r="W44" s="163" t="s">
        <v>7</v>
      </c>
      <c r="X44" s="163" t="s">
        <v>2</v>
      </c>
      <c r="Y44" s="163"/>
      <c r="Z44" s="163" t="s">
        <v>3</v>
      </c>
      <c r="AA44" s="163" t="s">
        <v>4</v>
      </c>
      <c r="AB44" s="163" t="s">
        <v>4</v>
      </c>
      <c r="AC44" s="163" t="s">
        <v>5</v>
      </c>
      <c r="AD44" s="163" t="s">
        <v>6</v>
      </c>
      <c r="AE44" s="163" t="s">
        <v>7</v>
      </c>
      <c r="AF44" s="163" t="s">
        <v>2</v>
      </c>
      <c r="AG44" s="163"/>
      <c r="AH44" s="163" t="s">
        <v>176</v>
      </c>
      <c r="AI44" s="163" t="s">
        <v>4</v>
      </c>
      <c r="AJ44" s="163" t="s">
        <v>4</v>
      </c>
      <c r="AK44" s="163" t="s">
        <v>5</v>
      </c>
      <c r="AL44" s="163" t="s">
        <v>6</v>
      </c>
      <c r="AM44" s="163" t="s">
        <v>7</v>
      </c>
      <c r="AN44" s="163" t="s">
        <v>2</v>
      </c>
      <c r="AO44" s="163" t="s">
        <v>3</v>
      </c>
      <c r="AP44" s="163" t="s">
        <v>4</v>
      </c>
    </row>
    <row r="45" spans="1:52" ht="15.75" thickBot="1">
      <c r="A45" s="183" t="s">
        <v>8</v>
      </c>
      <c r="B45" s="168"/>
      <c r="C45" s="168"/>
      <c r="D45" s="168"/>
      <c r="E45" s="168"/>
      <c r="F45" s="168"/>
      <c r="G45" s="169"/>
      <c r="H45" s="169">
        <v>44682</v>
      </c>
      <c r="I45" s="166" t="s">
        <v>9</v>
      </c>
      <c r="J45" s="169">
        <v>44683</v>
      </c>
      <c r="K45" s="169">
        <v>44684</v>
      </c>
      <c r="L45" s="169">
        <v>44685</v>
      </c>
      <c r="M45" s="169">
        <v>44686</v>
      </c>
      <c r="N45" s="169">
        <v>44687</v>
      </c>
      <c r="O45" s="169">
        <v>44688</v>
      </c>
      <c r="P45" s="169">
        <v>44689</v>
      </c>
      <c r="Q45" s="166" t="s">
        <v>9</v>
      </c>
      <c r="R45" s="169">
        <v>44690</v>
      </c>
      <c r="S45" s="169">
        <v>44691</v>
      </c>
      <c r="T45" s="169">
        <v>44692</v>
      </c>
      <c r="U45" s="169">
        <v>44693</v>
      </c>
      <c r="V45" s="169">
        <v>44694</v>
      </c>
      <c r="W45" s="169">
        <v>44695</v>
      </c>
      <c r="X45" s="169">
        <v>44696</v>
      </c>
      <c r="Y45" s="166" t="s">
        <v>9</v>
      </c>
      <c r="Z45" s="169">
        <v>44697</v>
      </c>
      <c r="AA45" s="169">
        <v>44698</v>
      </c>
      <c r="AB45" s="169">
        <v>44699</v>
      </c>
      <c r="AC45" s="169">
        <v>44700</v>
      </c>
      <c r="AD45" s="169">
        <v>44701</v>
      </c>
      <c r="AE45" s="169">
        <v>44702</v>
      </c>
      <c r="AF45" s="169">
        <v>44703</v>
      </c>
      <c r="AG45" s="166" t="s">
        <v>9</v>
      </c>
      <c r="AH45" s="169">
        <v>44704</v>
      </c>
      <c r="AI45" s="169">
        <v>44705</v>
      </c>
      <c r="AJ45" s="169">
        <v>44706</v>
      </c>
      <c r="AK45" s="169">
        <v>44707</v>
      </c>
      <c r="AL45" s="169">
        <v>44708</v>
      </c>
      <c r="AM45" s="169">
        <v>44709</v>
      </c>
      <c r="AN45" s="169">
        <v>44710</v>
      </c>
      <c r="AO45" s="169">
        <v>44711</v>
      </c>
      <c r="AP45" s="169">
        <v>44712</v>
      </c>
      <c r="AQ45" s="229" t="s">
        <v>9</v>
      </c>
      <c r="AR45" s="191" t="s">
        <v>10</v>
      </c>
      <c r="AV45" s="47"/>
      <c r="AW45" s="47"/>
      <c r="AX45" s="47"/>
      <c r="AY45" s="47"/>
      <c r="AZ45" s="47"/>
    </row>
    <row r="46" spans="1:52">
      <c r="A46" s="183" t="s">
        <v>11</v>
      </c>
      <c r="B46" s="172"/>
      <c r="C46" s="173"/>
      <c r="D46" s="173"/>
      <c r="E46" s="173"/>
      <c r="F46" s="173"/>
      <c r="G46" s="173"/>
      <c r="H46" s="173">
        <v>0</v>
      </c>
      <c r="I46" s="185">
        <v>0</v>
      </c>
      <c r="J46" s="173">
        <v>124943</v>
      </c>
      <c r="K46" s="173">
        <v>74855</v>
      </c>
      <c r="L46" s="173">
        <v>100051</v>
      </c>
      <c r="M46" s="173">
        <v>52255</v>
      </c>
      <c r="N46" s="173">
        <v>21506</v>
      </c>
      <c r="O46" s="173">
        <v>69741</v>
      </c>
      <c r="P46" s="173">
        <v>0</v>
      </c>
      <c r="Q46" s="185">
        <f>SUM(J46:P46)</f>
        <v>443351</v>
      </c>
      <c r="R46" s="173">
        <v>82922</v>
      </c>
      <c r="S46" s="173">
        <v>57082</v>
      </c>
      <c r="T46" s="173">
        <v>77676</v>
      </c>
      <c r="U46" s="173">
        <v>86986</v>
      </c>
      <c r="V46" s="173">
        <v>81301</v>
      </c>
      <c r="W46" s="173">
        <v>102962</v>
      </c>
      <c r="X46" s="173">
        <v>0</v>
      </c>
      <c r="Y46" s="185">
        <f>SUM(R46:X46)</f>
        <v>488929</v>
      </c>
      <c r="Z46" s="173">
        <v>99182</v>
      </c>
      <c r="AA46" s="173">
        <v>96991</v>
      </c>
      <c r="AB46" s="173">
        <v>84364</v>
      </c>
      <c r="AC46" s="173">
        <v>100621</v>
      </c>
      <c r="AD46" s="173">
        <v>96652</v>
      </c>
      <c r="AE46" s="173">
        <v>53523</v>
      </c>
      <c r="AF46" s="173">
        <v>0</v>
      </c>
      <c r="AG46" s="185">
        <f>SUM(Z46:AF46)</f>
        <v>531333</v>
      </c>
      <c r="AH46" s="173">
        <v>94862</v>
      </c>
      <c r="AI46" s="173"/>
      <c r="AJ46" s="173">
        <v>73474</v>
      </c>
      <c r="AK46" s="173">
        <v>89027</v>
      </c>
      <c r="AL46" s="173">
        <v>91436</v>
      </c>
      <c r="AM46" s="173">
        <v>11263</v>
      </c>
      <c r="AN46" s="173"/>
      <c r="AO46" s="173">
        <v>86566</v>
      </c>
      <c r="AP46" s="173">
        <v>82536</v>
      </c>
      <c r="AQ46" s="230">
        <f>SUM(AH46:AP46)</f>
        <v>529164</v>
      </c>
      <c r="AR46" s="192">
        <f>SUM(Y46,Q46,I46,AG46,AQ46)</f>
        <v>1992777</v>
      </c>
      <c r="AT46" s="47"/>
      <c r="AV46" s="47"/>
      <c r="AW46" s="47"/>
      <c r="AX46" s="47"/>
      <c r="AY46" s="47"/>
      <c r="AZ46" s="47"/>
    </row>
    <row r="47" spans="1:52">
      <c r="A47" s="183" t="s">
        <v>178</v>
      </c>
      <c r="B47" s="172"/>
      <c r="C47" s="173"/>
      <c r="D47" s="173"/>
      <c r="E47" s="173"/>
      <c r="F47" s="173"/>
      <c r="G47" s="173"/>
      <c r="H47" s="173"/>
      <c r="I47" s="185">
        <f>SUM(B47:H47)</f>
        <v>0</v>
      </c>
      <c r="J47" s="173">
        <v>23800</v>
      </c>
      <c r="K47" s="173">
        <v>17255</v>
      </c>
      <c r="L47" s="173">
        <v>7788</v>
      </c>
      <c r="M47" s="173">
        <v>33000</v>
      </c>
      <c r="N47" s="173">
        <v>81439</v>
      </c>
      <c r="O47" s="173">
        <v>26141</v>
      </c>
      <c r="P47" s="173"/>
      <c r="Q47" s="185">
        <f>SUM(J47:P47)</f>
        <v>189423</v>
      </c>
      <c r="R47" s="173">
        <v>40000</v>
      </c>
      <c r="S47" s="173">
        <v>60000</v>
      </c>
      <c r="T47" s="173">
        <v>66000</v>
      </c>
      <c r="U47" s="173">
        <v>60000</v>
      </c>
      <c r="V47" s="173">
        <v>66000</v>
      </c>
      <c r="W47" s="173">
        <v>28717</v>
      </c>
      <c r="X47" s="173"/>
      <c r="Y47" s="185">
        <f>SUM(R47:X47)</f>
        <v>320717</v>
      </c>
      <c r="Z47" s="173">
        <v>16000</v>
      </c>
      <c r="AA47" s="173">
        <v>16000</v>
      </c>
      <c r="AB47" s="173">
        <v>22612</v>
      </c>
      <c r="AC47" s="173">
        <v>15000</v>
      </c>
      <c r="AD47" s="173">
        <v>15093</v>
      </c>
      <c r="AE47" s="173"/>
      <c r="AF47" s="173"/>
      <c r="AG47" s="185">
        <f>SUM(Z47:AF47)</f>
        <v>84705</v>
      </c>
      <c r="AH47" s="173">
        <v>20742</v>
      </c>
      <c r="AI47" s="173"/>
      <c r="AJ47" s="173">
        <v>62026</v>
      </c>
      <c r="AK47" s="173">
        <v>46534</v>
      </c>
      <c r="AL47" s="173">
        <v>41077</v>
      </c>
      <c r="AM47" s="173"/>
      <c r="AN47" s="173"/>
      <c r="AO47" s="173">
        <v>11100</v>
      </c>
      <c r="AP47" s="173">
        <v>2026</v>
      </c>
      <c r="AQ47" s="230">
        <f>SUM(AH47:AP47)</f>
        <v>183505</v>
      </c>
      <c r="AR47" s="192">
        <f>SUM(Y47,Q47,I47,AG47,AQ47)</f>
        <v>778350</v>
      </c>
      <c r="AS47" s="272">
        <f>AR46+AR47</f>
        <v>2771127</v>
      </c>
      <c r="AT47" s="47"/>
      <c r="AV47" s="47"/>
      <c r="AW47" s="47"/>
      <c r="AX47" s="47"/>
      <c r="AY47" s="47"/>
      <c r="AZ47" s="47"/>
    </row>
    <row r="48" spans="1:52">
      <c r="A48" s="183" t="s">
        <v>13</v>
      </c>
      <c r="B48" s="173"/>
      <c r="C48" s="173"/>
      <c r="D48" s="173"/>
      <c r="E48" s="173"/>
      <c r="F48" s="173"/>
      <c r="G48" s="173"/>
      <c r="H48" s="173"/>
      <c r="I48" s="185">
        <f>SUM(B48:H48)</f>
        <v>0</v>
      </c>
      <c r="J48" s="173">
        <f>J51+J52+J53</f>
        <v>29153</v>
      </c>
      <c r="K48" s="173">
        <f>K51+K52+K53</f>
        <v>30206</v>
      </c>
      <c r="L48" s="173">
        <f>L51+L52+L53</f>
        <v>54993</v>
      </c>
      <c r="M48" s="173">
        <f t="shared" ref="M48:P48" si="43">M51+M52+M53</f>
        <v>29541</v>
      </c>
      <c r="N48" s="173">
        <f t="shared" si="43"/>
        <v>29800</v>
      </c>
      <c r="O48" s="173">
        <f t="shared" si="43"/>
        <v>28729</v>
      </c>
      <c r="P48" s="173">
        <f t="shared" si="43"/>
        <v>0</v>
      </c>
      <c r="Q48" s="185">
        <f>SUM(J48:P48)</f>
        <v>202422</v>
      </c>
      <c r="R48" s="173">
        <f t="shared" ref="R48:W48" si="44">R51+R52+R53</f>
        <v>24561</v>
      </c>
      <c r="S48" s="173">
        <f t="shared" si="44"/>
        <v>54482</v>
      </c>
      <c r="T48" s="173">
        <f t="shared" si="44"/>
        <v>30189</v>
      </c>
      <c r="U48" s="173">
        <f t="shared" si="44"/>
        <v>55423</v>
      </c>
      <c r="V48" s="173">
        <f t="shared" si="44"/>
        <v>53812</v>
      </c>
      <c r="W48" s="173">
        <f t="shared" si="44"/>
        <v>37901</v>
      </c>
      <c r="X48" s="173">
        <f t="shared" ref="X48" si="45">X51+X52+X53</f>
        <v>0</v>
      </c>
      <c r="Y48" s="185">
        <f>SUM(R48:X48)</f>
        <v>256368</v>
      </c>
      <c r="Z48" s="173">
        <f t="shared" ref="Z48:AE48" si="46">Z51+Z52+Z53</f>
        <v>53376</v>
      </c>
      <c r="AA48" s="173">
        <f t="shared" si="46"/>
        <v>52965</v>
      </c>
      <c r="AB48" s="173">
        <f t="shared" si="46"/>
        <v>31421</v>
      </c>
      <c r="AC48" s="173">
        <f t="shared" si="46"/>
        <v>30080</v>
      </c>
      <c r="AD48" s="173">
        <f>AD51+AD52</f>
        <v>29862</v>
      </c>
      <c r="AE48" s="173">
        <f t="shared" si="46"/>
        <v>24565</v>
      </c>
      <c r="AF48" s="173">
        <f t="shared" ref="AF48" si="47">AF51+AF52+AF53</f>
        <v>0</v>
      </c>
      <c r="AG48" s="185">
        <f>SUM(Z48:AF48)</f>
        <v>222269</v>
      </c>
      <c r="AH48" s="173">
        <f t="shared" ref="AH48:AO48" si="48">AH51+AH52+AH53</f>
        <v>55087</v>
      </c>
      <c r="AI48" s="173">
        <f t="shared" si="48"/>
        <v>30767</v>
      </c>
      <c r="AJ48" s="173">
        <f t="shared" si="48"/>
        <v>30766</v>
      </c>
      <c r="AK48" s="173">
        <f t="shared" si="48"/>
        <v>31574</v>
      </c>
      <c r="AL48" s="173">
        <f t="shared" si="48"/>
        <v>30400</v>
      </c>
      <c r="AM48" s="173">
        <f t="shared" si="48"/>
        <v>24671</v>
      </c>
      <c r="AN48" s="173">
        <f t="shared" si="48"/>
        <v>0</v>
      </c>
      <c r="AO48" s="173">
        <f t="shared" si="48"/>
        <v>29564</v>
      </c>
      <c r="AP48" s="173">
        <f>AP51+AP52+AP53</f>
        <v>53785</v>
      </c>
      <c r="AQ48" s="230">
        <f>SUM(AH48:AP48)</f>
        <v>286614</v>
      </c>
      <c r="AR48" s="192">
        <f>AQ48+AG48+Y48+Q48</f>
        <v>967673</v>
      </c>
      <c r="AT48" s="47"/>
      <c r="AV48" s="47"/>
      <c r="AW48" s="47"/>
      <c r="AX48" s="47"/>
      <c r="AY48" s="47"/>
      <c r="AZ48" s="47"/>
    </row>
    <row r="49" spans="1:52" ht="15.75" thickBot="1">
      <c r="A49" s="183" t="s">
        <v>15</v>
      </c>
      <c r="B49" s="177" t="e">
        <f t="shared" ref="B49:I49" si="49">B48/B46</f>
        <v>#DIV/0!</v>
      </c>
      <c r="C49" s="177" t="e">
        <f t="shared" si="49"/>
        <v>#DIV/0!</v>
      </c>
      <c r="D49" s="177" t="e">
        <f t="shared" si="49"/>
        <v>#DIV/0!</v>
      </c>
      <c r="E49" s="177" t="e">
        <f t="shared" si="49"/>
        <v>#DIV/0!</v>
      </c>
      <c r="F49" s="177" t="e">
        <f t="shared" si="49"/>
        <v>#DIV/0!</v>
      </c>
      <c r="G49" s="177" t="e">
        <f t="shared" si="49"/>
        <v>#DIV/0!</v>
      </c>
      <c r="H49" s="177" t="e">
        <f t="shared" si="49"/>
        <v>#DIV/0!</v>
      </c>
      <c r="I49" s="176" t="e">
        <f t="shared" si="49"/>
        <v>#DIV/0!</v>
      </c>
      <c r="J49" s="177">
        <f t="shared" ref="J49:R49" si="50">J48/J46</f>
        <v>0.23333039866178978</v>
      </c>
      <c r="K49" s="177">
        <f t="shared" si="50"/>
        <v>0.40352681851579719</v>
      </c>
      <c r="L49" s="177">
        <f t="shared" si="50"/>
        <v>0.54964967866388137</v>
      </c>
      <c r="M49" s="177">
        <f t="shared" si="50"/>
        <v>0.5653238924504832</v>
      </c>
      <c r="N49" s="177">
        <f t="shared" si="50"/>
        <v>1.3856598158653399</v>
      </c>
      <c r="O49" s="177">
        <f t="shared" si="50"/>
        <v>0.41193845800891871</v>
      </c>
      <c r="P49" s="177" t="e">
        <f t="shared" si="50"/>
        <v>#DIV/0!</v>
      </c>
      <c r="Q49" s="176">
        <f t="shared" si="50"/>
        <v>0.45657278318984279</v>
      </c>
      <c r="R49" s="177">
        <f t="shared" si="50"/>
        <v>0.2961940136513832</v>
      </c>
      <c r="S49" s="177">
        <f t="shared" ref="S49:Y49" si="51">S48/S46</f>
        <v>0.95445149083774217</v>
      </c>
      <c r="T49" s="177">
        <f t="shared" si="51"/>
        <v>0.3886528657500386</v>
      </c>
      <c r="U49" s="177">
        <f t="shared" si="51"/>
        <v>0.63714850665624356</v>
      </c>
      <c r="V49" s="177">
        <f t="shared" si="51"/>
        <v>0.66188607766202134</v>
      </c>
      <c r="W49" s="177">
        <f t="shared" si="51"/>
        <v>0.3681066801344185</v>
      </c>
      <c r="X49" s="177" t="e">
        <f t="shared" si="51"/>
        <v>#DIV/0!</v>
      </c>
      <c r="Y49" s="176">
        <f t="shared" si="51"/>
        <v>0.52434607069738137</v>
      </c>
      <c r="Z49" s="177">
        <f t="shared" ref="Z49:AF49" si="52">Z48/Z46</f>
        <v>0.53816216652215121</v>
      </c>
      <c r="AA49" s="177">
        <f t="shared" si="52"/>
        <v>0.54608159519955457</v>
      </c>
      <c r="AB49" s="177">
        <f t="shared" si="52"/>
        <v>0.37244559290692714</v>
      </c>
      <c r="AC49" s="177">
        <f t="shared" si="52"/>
        <v>0.29894356048936105</v>
      </c>
      <c r="AD49" s="177">
        <f t="shared" si="52"/>
        <v>0.3089641186938708</v>
      </c>
      <c r="AE49" s="177">
        <f t="shared" si="52"/>
        <v>0.45896156792407</v>
      </c>
      <c r="AF49" s="177" t="e">
        <f t="shared" si="52"/>
        <v>#DIV/0!</v>
      </c>
      <c r="AG49" s="176">
        <f>AG48/AG46</f>
        <v>0.41832334901088397</v>
      </c>
      <c r="AH49" s="177">
        <f t="shared" ref="AH49:AO49" si="53">AH48/AH46</f>
        <v>0.58070671080095293</v>
      </c>
      <c r="AI49" s="177" t="e">
        <f t="shared" si="53"/>
        <v>#DIV/0!</v>
      </c>
      <c r="AJ49" s="177">
        <f t="shared" si="53"/>
        <v>0.41873315730734684</v>
      </c>
      <c r="AK49" s="177">
        <f t="shared" si="53"/>
        <v>0.35465645253687084</v>
      </c>
      <c r="AL49" s="177">
        <f>AL48/AL46</f>
        <v>0.3324729865698412</v>
      </c>
      <c r="AM49" s="177">
        <f>AM48/AM46</f>
        <v>2.1904465950457248</v>
      </c>
      <c r="AN49" s="177" t="e">
        <f t="shared" si="53"/>
        <v>#DIV/0!</v>
      </c>
      <c r="AO49" s="177">
        <f t="shared" si="53"/>
        <v>0.34151976526580874</v>
      </c>
      <c r="AP49" s="177">
        <f t="shared" ref="AP49" si="54">AP48/AP46</f>
        <v>0.65165503537850156</v>
      </c>
      <c r="AQ49" s="176">
        <f>AQ48/(AQ46+AQ47)</f>
        <v>0.40216987128667026</v>
      </c>
      <c r="AR49" s="193">
        <f>AR48/(AR46+AR47)</f>
        <v>0.3491983586461393</v>
      </c>
      <c r="AT49" s="47"/>
      <c r="AV49" s="47"/>
      <c r="AW49" s="47"/>
      <c r="AX49" s="47"/>
      <c r="AY49" s="47"/>
      <c r="AZ49" s="47"/>
    </row>
    <row r="50" spans="1:52">
      <c r="A50" s="151"/>
      <c r="B50" s="178"/>
      <c r="C50" s="178"/>
      <c r="D50" s="178"/>
      <c r="E50" s="178"/>
      <c r="F50" s="178"/>
      <c r="G50" s="186"/>
      <c r="H50" s="178"/>
      <c r="I50" s="151"/>
      <c r="J50" s="178"/>
      <c r="K50" s="178"/>
      <c r="L50" s="178"/>
      <c r="M50" s="178"/>
      <c r="N50" s="178"/>
      <c r="O50" s="178"/>
      <c r="P50" s="188"/>
      <c r="Q50" s="151"/>
      <c r="R50" s="189"/>
      <c r="S50" s="189"/>
      <c r="T50" s="189"/>
      <c r="U50" s="189"/>
      <c r="V50" s="189"/>
      <c r="W50" s="189"/>
      <c r="X50" s="189"/>
      <c r="Y50" s="151"/>
      <c r="Z50" s="188"/>
      <c r="AA50" s="178"/>
      <c r="AB50" s="178"/>
      <c r="AC50" s="178"/>
      <c r="AD50" s="178"/>
      <c r="AE50" s="178"/>
      <c r="AF50" s="178"/>
      <c r="AG50" s="151"/>
      <c r="AH50" s="178"/>
      <c r="AI50" s="188"/>
      <c r="AJ50" s="189"/>
      <c r="AK50" s="189"/>
      <c r="AL50" s="189"/>
      <c r="AM50" s="189"/>
      <c r="AN50" s="189"/>
      <c r="AO50" s="189"/>
      <c r="AQ50" s="151"/>
      <c r="AR50" s="47"/>
      <c r="AU50" s="47"/>
      <c r="AV50" s="47"/>
      <c r="AW50" s="47"/>
      <c r="AX50" s="47"/>
      <c r="AY50" s="47"/>
    </row>
    <row r="51" spans="1:52" s="121" customFormat="1">
      <c r="A51" s="179" t="s">
        <v>16</v>
      </c>
      <c r="B51" s="180"/>
      <c r="C51" s="180"/>
      <c r="D51" s="180"/>
      <c r="E51" s="180"/>
      <c r="F51" s="180"/>
      <c r="G51" s="187"/>
      <c r="H51" s="219">
        <v>0</v>
      </c>
      <c r="I51" s="179"/>
      <c r="J51" s="180">
        <v>4408</v>
      </c>
      <c r="K51" s="180">
        <v>5950</v>
      </c>
      <c r="L51" s="180">
        <v>4921</v>
      </c>
      <c r="M51" s="180">
        <v>4350</v>
      </c>
      <c r="N51" s="180">
        <v>5070</v>
      </c>
      <c r="O51" s="180">
        <v>4490</v>
      </c>
      <c r="P51" s="219">
        <v>0</v>
      </c>
      <c r="Q51" s="179"/>
      <c r="R51" s="219">
        <v>0</v>
      </c>
      <c r="S51" s="180">
        <v>5250</v>
      </c>
      <c r="T51" s="180">
        <v>5634</v>
      </c>
      <c r="U51" s="180">
        <v>7560</v>
      </c>
      <c r="V51" s="180">
        <v>5410</v>
      </c>
      <c r="W51" s="180">
        <v>13450</v>
      </c>
      <c r="X51" s="219">
        <v>0</v>
      </c>
      <c r="Y51" s="179"/>
      <c r="Z51" s="180">
        <v>4340</v>
      </c>
      <c r="AA51" s="180">
        <v>4389</v>
      </c>
      <c r="AB51" s="180">
        <v>6220</v>
      </c>
      <c r="AC51" s="180">
        <v>5580</v>
      </c>
      <c r="AD51" s="180">
        <v>5250</v>
      </c>
      <c r="AE51" s="219">
        <v>0</v>
      </c>
      <c r="AF51" s="219">
        <v>0</v>
      </c>
      <c r="AG51" s="179"/>
      <c r="AH51" s="180">
        <v>5730</v>
      </c>
      <c r="AI51" s="180">
        <v>5640</v>
      </c>
      <c r="AJ51" s="180">
        <v>5263</v>
      </c>
      <c r="AK51" s="180">
        <v>6289</v>
      </c>
      <c r="AL51" s="180">
        <v>5770</v>
      </c>
      <c r="AM51" s="219">
        <v>0</v>
      </c>
      <c r="AN51" s="219">
        <v>0</v>
      </c>
      <c r="AO51" s="180">
        <v>5070</v>
      </c>
      <c r="AP51" s="121">
        <v>4294</v>
      </c>
      <c r="AQ51" s="121">
        <f>SUM(I51:AP51)</f>
        <v>130328</v>
      </c>
      <c r="AR51" s="194" t="s">
        <v>16</v>
      </c>
      <c r="AU51" s="196"/>
      <c r="AV51" s="196"/>
      <c r="AW51" s="196"/>
      <c r="AX51" s="196"/>
      <c r="AY51" s="196"/>
    </row>
    <row r="52" spans="1:52" s="121" customFormat="1">
      <c r="A52" s="181" t="s">
        <v>17</v>
      </c>
      <c r="B52" s="160"/>
      <c r="C52" s="182"/>
      <c r="D52" s="160"/>
      <c r="E52" s="160"/>
      <c r="F52" s="182"/>
      <c r="G52" s="182"/>
      <c r="H52" s="219">
        <v>0</v>
      </c>
      <c r="I52" s="181"/>
      <c r="J52" s="182">
        <v>24745</v>
      </c>
      <c r="K52" s="182">
        <v>24256</v>
      </c>
      <c r="L52" s="160">
        <v>50072</v>
      </c>
      <c r="M52" s="160">
        <v>25191</v>
      </c>
      <c r="N52" s="182">
        <v>24730</v>
      </c>
      <c r="O52" s="182">
        <v>24239</v>
      </c>
      <c r="P52" s="219">
        <v>0</v>
      </c>
      <c r="Q52" s="181"/>
      <c r="R52" s="160">
        <v>24561</v>
      </c>
      <c r="S52" s="160">
        <v>49232</v>
      </c>
      <c r="T52" s="160">
        <v>24555</v>
      </c>
      <c r="U52" s="160">
        <v>47863</v>
      </c>
      <c r="V52" s="160">
        <v>48402</v>
      </c>
      <c r="W52" s="160">
        <v>24451</v>
      </c>
      <c r="X52" s="219">
        <v>0</v>
      </c>
      <c r="Y52" s="181"/>
      <c r="Z52" s="160">
        <v>49036</v>
      </c>
      <c r="AA52" s="160">
        <v>48576</v>
      </c>
      <c r="AB52" s="160">
        <v>25201</v>
      </c>
      <c r="AC52" s="160">
        <v>24500</v>
      </c>
      <c r="AD52" s="160">
        <v>24612</v>
      </c>
      <c r="AE52" s="160">
        <v>24565</v>
      </c>
      <c r="AF52" s="219">
        <v>0</v>
      </c>
      <c r="AG52" s="181"/>
      <c r="AH52" s="160">
        <v>49357</v>
      </c>
      <c r="AI52" s="160">
        <v>25127</v>
      </c>
      <c r="AJ52" s="160">
        <v>25503</v>
      </c>
      <c r="AK52" s="160">
        <v>25285</v>
      </c>
      <c r="AL52" s="190">
        <v>24630</v>
      </c>
      <c r="AM52" s="160">
        <v>24671</v>
      </c>
      <c r="AN52" s="219">
        <v>0</v>
      </c>
      <c r="AO52" s="160">
        <v>24494</v>
      </c>
      <c r="AP52" s="121">
        <v>49491</v>
      </c>
      <c r="AQ52" s="121">
        <f>SUM(I52:AP52)</f>
        <v>837345</v>
      </c>
      <c r="AR52" s="195" t="s">
        <v>17</v>
      </c>
      <c r="AT52" s="196"/>
    </row>
    <row r="53" spans="1:52" s="121" customFormat="1">
      <c r="A53" s="319" t="s">
        <v>174</v>
      </c>
      <c r="B53" s="160"/>
      <c r="C53" s="182"/>
      <c r="D53" s="160"/>
      <c r="E53" s="160"/>
      <c r="F53" s="182"/>
      <c r="G53" s="182"/>
      <c r="H53" s="219">
        <v>0</v>
      </c>
      <c r="I53" s="181"/>
      <c r="J53" s="219">
        <v>0</v>
      </c>
      <c r="K53" s="219">
        <v>0</v>
      </c>
      <c r="L53" s="219">
        <v>0</v>
      </c>
      <c r="M53" s="219">
        <v>0</v>
      </c>
      <c r="N53" s="219">
        <v>0</v>
      </c>
      <c r="O53" s="219">
        <v>0</v>
      </c>
      <c r="P53" s="219">
        <v>0</v>
      </c>
      <c r="Q53" s="181"/>
      <c r="R53" s="219">
        <v>0</v>
      </c>
      <c r="S53" s="219">
        <v>0</v>
      </c>
      <c r="T53" s="219">
        <v>0</v>
      </c>
      <c r="U53" s="219">
        <v>0</v>
      </c>
      <c r="V53" s="219">
        <v>0</v>
      </c>
      <c r="W53" s="219">
        <v>0</v>
      </c>
      <c r="X53" s="219">
        <v>0</v>
      </c>
      <c r="Y53" s="181"/>
      <c r="Z53" s="219">
        <v>0</v>
      </c>
      <c r="AA53" s="219">
        <v>0</v>
      </c>
      <c r="AB53" s="219">
        <v>0</v>
      </c>
      <c r="AC53" s="219">
        <v>0</v>
      </c>
      <c r="AD53" s="160">
        <v>2430</v>
      </c>
      <c r="AE53" s="219">
        <v>0</v>
      </c>
      <c r="AF53" s="219">
        <v>0</v>
      </c>
      <c r="AG53" s="181"/>
      <c r="AH53" s="219">
        <v>0</v>
      </c>
      <c r="AI53" s="219">
        <v>0</v>
      </c>
      <c r="AJ53" s="219">
        <v>0</v>
      </c>
      <c r="AK53" s="219">
        <v>0</v>
      </c>
      <c r="AL53" s="219">
        <v>0</v>
      </c>
      <c r="AM53" s="219">
        <v>0</v>
      </c>
      <c r="AN53" s="219">
        <v>0</v>
      </c>
      <c r="AO53" s="219">
        <v>0</v>
      </c>
      <c r="AP53" s="219">
        <v>0</v>
      </c>
      <c r="AQ53" s="121">
        <f>SUM(I53:AP53)</f>
        <v>2430</v>
      </c>
      <c r="AR53" s="227" t="s">
        <v>171</v>
      </c>
      <c r="AT53" s="196"/>
    </row>
    <row r="54" spans="1:52" ht="15.75" thickBot="1">
      <c r="A54" s="304" t="s">
        <v>22</v>
      </c>
      <c r="B54" s="163" t="s">
        <v>3</v>
      </c>
      <c r="C54" s="163" t="s">
        <v>4</v>
      </c>
      <c r="D54" s="163" t="s">
        <v>4</v>
      </c>
      <c r="E54" s="163" t="s">
        <v>5</v>
      </c>
      <c r="F54" s="163" t="s">
        <v>6</v>
      </c>
      <c r="G54" s="163" t="s">
        <v>7</v>
      </c>
      <c r="H54" s="163" t="s">
        <v>2</v>
      </c>
      <c r="I54" s="163"/>
      <c r="J54" s="163" t="s">
        <v>3</v>
      </c>
      <c r="K54" s="163" t="s">
        <v>4</v>
      </c>
      <c r="L54" s="163" t="s">
        <v>4</v>
      </c>
      <c r="M54" s="163" t="s">
        <v>5</v>
      </c>
      <c r="N54" s="163" t="s">
        <v>6</v>
      </c>
      <c r="O54" s="163" t="s">
        <v>7</v>
      </c>
      <c r="P54" s="163" t="s">
        <v>2</v>
      </c>
      <c r="Q54" s="163"/>
      <c r="R54" s="163" t="s">
        <v>3</v>
      </c>
      <c r="S54" s="163" t="s">
        <v>4</v>
      </c>
      <c r="T54" s="163" t="s">
        <v>4</v>
      </c>
      <c r="U54" s="163" t="s">
        <v>5</v>
      </c>
      <c r="V54" s="163" t="s">
        <v>6</v>
      </c>
      <c r="W54" s="163" t="s">
        <v>7</v>
      </c>
      <c r="X54" s="163" t="s">
        <v>2</v>
      </c>
      <c r="Y54" s="163"/>
      <c r="Z54" s="163" t="s">
        <v>3</v>
      </c>
      <c r="AA54" s="163" t="s">
        <v>4</v>
      </c>
      <c r="AB54" s="163" t="s">
        <v>4</v>
      </c>
      <c r="AC54" s="163" t="s">
        <v>5</v>
      </c>
      <c r="AD54" s="163" t="s">
        <v>6</v>
      </c>
      <c r="AE54" s="163" t="s">
        <v>7</v>
      </c>
      <c r="AF54" s="163" t="s">
        <v>2</v>
      </c>
      <c r="AG54" s="163"/>
      <c r="AH54" s="163" t="s">
        <v>3</v>
      </c>
      <c r="AI54" s="163" t="s">
        <v>4</v>
      </c>
      <c r="AJ54" s="163" t="s">
        <v>4</v>
      </c>
      <c r="AK54" s="163" t="s">
        <v>5</v>
      </c>
      <c r="AL54" s="163" t="s">
        <v>6</v>
      </c>
      <c r="AM54" s="163" t="s">
        <v>7</v>
      </c>
      <c r="AN54" s="163" t="s">
        <v>2</v>
      </c>
      <c r="AO54" s="163"/>
      <c r="AP54" s="151"/>
      <c r="AQ54" s="47">
        <f>SUM(B54:AP54)</f>
        <v>0</v>
      </c>
      <c r="AR54" s="330">
        <f>AQ54/1000</f>
        <v>0</v>
      </c>
      <c r="AS54" s="196"/>
      <c r="AT54" s="47"/>
      <c r="AU54" s="47"/>
    </row>
    <row r="55" spans="1:52" ht="15.75" thickBot="1">
      <c r="A55" s="183" t="s">
        <v>8</v>
      </c>
      <c r="B55" s="168"/>
      <c r="C55" s="169"/>
      <c r="D55" s="169">
        <v>44713</v>
      </c>
      <c r="E55" s="169">
        <v>44714</v>
      </c>
      <c r="F55" s="169">
        <v>44715</v>
      </c>
      <c r="G55" s="169">
        <v>44716</v>
      </c>
      <c r="H55" s="169">
        <v>44717</v>
      </c>
      <c r="I55" s="166" t="s">
        <v>9</v>
      </c>
      <c r="J55" s="169">
        <v>44718</v>
      </c>
      <c r="K55" s="169">
        <v>44719</v>
      </c>
      <c r="L55" s="169">
        <v>44720</v>
      </c>
      <c r="M55" s="169">
        <v>44721</v>
      </c>
      <c r="N55" s="169">
        <v>44722</v>
      </c>
      <c r="O55" s="169">
        <v>44723</v>
      </c>
      <c r="P55" s="169">
        <v>44724</v>
      </c>
      <c r="Q55" s="166" t="s">
        <v>9</v>
      </c>
      <c r="R55" s="169">
        <v>44725</v>
      </c>
      <c r="S55" s="169">
        <v>44726</v>
      </c>
      <c r="T55" s="169">
        <v>44727</v>
      </c>
      <c r="U55" s="169">
        <v>44728</v>
      </c>
      <c r="V55" s="169">
        <v>44729</v>
      </c>
      <c r="W55" s="169">
        <v>44730</v>
      </c>
      <c r="X55" s="169">
        <v>44731</v>
      </c>
      <c r="Y55" s="166" t="s">
        <v>9</v>
      </c>
      <c r="Z55" s="169">
        <v>44732</v>
      </c>
      <c r="AA55" s="169">
        <v>44733</v>
      </c>
      <c r="AB55" s="169">
        <v>44734</v>
      </c>
      <c r="AC55" s="169">
        <v>44735</v>
      </c>
      <c r="AD55" s="169">
        <v>44736</v>
      </c>
      <c r="AE55" s="169">
        <v>44737</v>
      </c>
      <c r="AF55" s="169">
        <v>44738</v>
      </c>
      <c r="AG55" s="166" t="s">
        <v>9</v>
      </c>
      <c r="AH55" s="169">
        <v>44739</v>
      </c>
      <c r="AI55" s="169">
        <v>44740</v>
      </c>
      <c r="AJ55" s="169">
        <v>44741</v>
      </c>
      <c r="AK55" s="169">
        <v>44742</v>
      </c>
      <c r="AL55" s="169"/>
      <c r="AM55" s="169"/>
      <c r="AN55" s="169"/>
      <c r="AO55" s="228"/>
      <c r="AP55" s="229" t="s">
        <v>9</v>
      </c>
      <c r="AQ55" s="191" t="s">
        <v>10</v>
      </c>
      <c r="AS55" s="161"/>
      <c r="AV55" s="47"/>
      <c r="AW55" s="47"/>
      <c r="AX55" s="47"/>
      <c r="AY55" s="47"/>
      <c r="AZ55" s="47"/>
    </row>
    <row r="56" spans="1:52">
      <c r="A56" s="183" t="s">
        <v>11</v>
      </c>
      <c r="B56" s="172"/>
      <c r="C56" s="173"/>
      <c r="D56" s="173">
        <v>85914</v>
      </c>
      <c r="E56" s="173">
        <v>94668</v>
      </c>
      <c r="F56" s="173">
        <v>98905</v>
      </c>
      <c r="G56" s="173">
        <v>0</v>
      </c>
      <c r="H56" s="173">
        <v>0</v>
      </c>
      <c r="I56" s="185">
        <f>SUM(B56:H56)</f>
        <v>279487</v>
      </c>
      <c r="J56" s="173">
        <v>70233</v>
      </c>
      <c r="K56" s="173">
        <v>89843</v>
      </c>
      <c r="L56" s="173">
        <v>93088</v>
      </c>
      <c r="M56" s="173">
        <v>101526</v>
      </c>
      <c r="N56" s="173">
        <v>76807</v>
      </c>
      <c r="O56" s="173">
        <v>0</v>
      </c>
      <c r="P56" s="173">
        <v>0</v>
      </c>
      <c r="Q56" s="185">
        <f>SUM(J56:P56)</f>
        <v>431497</v>
      </c>
      <c r="R56" s="173">
        <v>94890</v>
      </c>
      <c r="S56" s="173">
        <v>88516</v>
      </c>
      <c r="T56" s="173">
        <v>72220</v>
      </c>
      <c r="U56" s="173">
        <v>97751</v>
      </c>
      <c r="V56" s="173">
        <v>74144</v>
      </c>
      <c r="W56" s="173">
        <v>103869</v>
      </c>
      <c r="X56" s="173">
        <v>0</v>
      </c>
      <c r="Y56" s="185">
        <f>SUM(R56:X56)</f>
        <v>531390</v>
      </c>
      <c r="Z56" s="173">
        <v>56375</v>
      </c>
      <c r="AA56" s="173">
        <v>75809</v>
      </c>
      <c r="AB56" s="173">
        <v>103858</v>
      </c>
      <c r="AC56" s="173">
        <v>115356</v>
      </c>
      <c r="AD56" s="173">
        <v>91824</v>
      </c>
      <c r="AE56" s="173">
        <v>97048</v>
      </c>
      <c r="AF56" s="173">
        <v>0</v>
      </c>
      <c r="AG56" s="185">
        <f>SUM(Z56:AF56)</f>
        <v>540270</v>
      </c>
      <c r="AH56" s="173">
        <v>105417</v>
      </c>
      <c r="AI56" s="173">
        <v>97053</v>
      </c>
      <c r="AJ56" s="173">
        <v>99533</v>
      </c>
      <c r="AK56" s="173">
        <v>97209</v>
      </c>
      <c r="AL56" s="173"/>
      <c r="AM56" s="173"/>
      <c r="AN56" s="173"/>
      <c r="AO56" s="172"/>
      <c r="AP56" s="230">
        <f>AH56+AI56+AJ56+AK56+AL56+AM56+AN56</f>
        <v>399212</v>
      </c>
      <c r="AQ56" s="192">
        <f>I56+Q56+Y56+AG56+AP56</f>
        <v>2181856</v>
      </c>
      <c r="AR56" s="47"/>
      <c r="AS56" s="47"/>
      <c r="AT56" s="47"/>
      <c r="AV56" s="161"/>
      <c r="AW56" s="47"/>
      <c r="AX56" s="47"/>
      <c r="AY56" s="47"/>
      <c r="AZ56" s="47"/>
    </row>
    <row r="57" spans="1:52">
      <c r="A57" s="183" t="s">
        <v>178</v>
      </c>
      <c r="B57" s="172"/>
      <c r="C57" s="173"/>
      <c r="D57" s="173">
        <v>4839</v>
      </c>
      <c r="E57" s="173">
        <v>22059</v>
      </c>
      <c r="F57" s="173">
        <v>22098.690000000002</v>
      </c>
      <c r="G57" s="173">
        <v>0</v>
      </c>
      <c r="H57" s="173">
        <v>0</v>
      </c>
      <c r="I57" s="185">
        <f>SUM(B57:H57)</f>
        <v>48996.69</v>
      </c>
      <c r="J57" s="173">
        <v>18820</v>
      </c>
      <c r="K57" s="173">
        <v>20022</v>
      </c>
      <c r="L57" s="173">
        <v>29067</v>
      </c>
      <c r="M57" s="173">
        <v>20025</v>
      </c>
      <c r="N57" s="173">
        <v>9406</v>
      </c>
      <c r="O57" s="173">
        <v>0</v>
      </c>
      <c r="P57" s="173">
        <v>0</v>
      </c>
      <c r="Q57" s="185">
        <f>SUM(J57:P57)</f>
        <v>97340</v>
      </c>
      <c r="R57" s="173">
        <v>29723</v>
      </c>
      <c r="S57" s="173">
        <v>35782</v>
      </c>
      <c r="T57" s="173">
        <v>23113</v>
      </c>
      <c r="U57" s="173">
        <v>18693</v>
      </c>
      <c r="V57" s="173">
        <v>19686</v>
      </c>
      <c r="W57" s="173">
        <v>9818</v>
      </c>
      <c r="X57" s="173">
        <v>0</v>
      </c>
      <c r="Y57" s="185">
        <f>SUM(R57:X57)</f>
        <v>136815</v>
      </c>
      <c r="Z57" s="173">
        <v>12199</v>
      </c>
      <c r="AA57" s="173">
        <v>20123</v>
      </c>
      <c r="AB57" s="173">
        <v>18493</v>
      </c>
      <c r="AC57" s="173">
        <v>12132</v>
      </c>
      <c r="AD57" s="173">
        <v>19210</v>
      </c>
      <c r="AE57" s="173">
        <v>11326</v>
      </c>
      <c r="AF57" s="173">
        <v>0</v>
      </c>
      <c r="AG57" s="185">
        <f>SUM(Z57:AF57)</f>
        <v>93483</v>
      </c>
      <c r="AH57" s="173">
        <v>14052</v>
      </c>
      <c r="AI57" s="173">
        <v>15566</v>
      </c>
      <c r="AJ57" s="173">
        <v>12600</v>
      </c>
      <c r="AK57" s="173">
        <v>15730</v>
      </c>
      <c r="AL57" s="173"/>
      <c r="AM57" s="173"/>
      <c r="AN57" s="173"/>
      <c r="AO57" s="172"/>
      <c r="AP57" s="230">
        <f>AH57+AI57+AJ57+AK57+AL57+AM57+AN57</f>
        <v>57948</v>
      </c>
      <c r="AQ57" s="192">
        <f>I57+Q57+Y57+AG57+AP57</f>
        <v>434582.69</v>
      </c>
      <c r="AR57" s="315">
        <f>AQ56+AQ57</f>
        <v>2616438.69</v>
      </c>
      <c r="AT57" s="47"/>
      <c r="AV57" s="47"/>
      <c r="AW57" s="47"/>
      <c r="AX57" s="47"/>
      <c r="AY57" s="47"/>
      <c r="AZ57" s="47"/>
    </row>
    <row r="58" spans="1:52">
      <c r="A58" s="183" t="s">
        <v>13</v>
      </c>
      <c r="B58" s="173">
        <f>B61+B62</f>
        <v>0</v>
      </c>
      <c r="C58" s="173"/>
      <c r="D58" s="173">
        <f>D61+D62+D63</f>
        <v>29974.5</v>
      </c>
      <c r="E58" s="173">
        <f t="shared" ref="E58:G58" si="55">E61+E62+E63</f>
        <v>28891</v>
      </c>
      <c r="F58" s="173">
        <f t="shared" si="55"/>
        <v>24864.5</v>
      </c>
      <c r="G58" s="173">
        <f t="shared" si="55"/>
        <v>25270.5</v>
      </c>
      <c r="H58" s="173">
        <f>H61+H62+H63</f>
        <v>0</v>
      </c>
      <c r="I58" s="185">
        <f>SUM(B58:H58)</f>
        <v>109000.5</v>
      </c>
      <c r="J58" s="173">
        <f>J61+J62</f>
        <v>31903</v>
      </c>
      <c r="K58" s="173">
        <f t="shared" ref="K58:P58" si="56">K61+K62</f>
        <v>31418.5</v>
      </c>
      <c r="L58" s="173">
        <f t="shared" si="56"/>
        <v>30929.5</v>
      </c>
      <c r="M58" s="173">
        <f t="shared" si="56"/>
        <v>30109</v>
      </c>
      <c r="N58" s="173">
        <f t="shared" si="56"/>
        <v>30910</v>
      </c>
      <c r="O58" s="173">
        <f t="shared" si="56"/>
        <v>0</v>
      </c>
      <c r="P58" s="173">
        <f t="shared" si="56"/>
        <v>0</v>
      </c>
      <c r="Q58" s="185">
        <f>SUM(J58:P58)</f>
        <v>155270</v>
      </c>
      <c r="R58" s="173">
        <f>R61+R62</f>
        <v>30104.5</v>
      </c>
      <c r="S58" s="173">
        <f t="shared" ref="S58:X58" si="57">S61+S62</f>
        <v>30841.5</v>
      </c>
      <c r="T58" s="173">
        <f t="shared" si="57"/>
        <v>31038.5</v>
      </c>
      <c r="U58" s="173">
        <f t="shared" si="57"/>
        <v>31203</v>
      </c>
      <c r="V58" s="173">
        <f t="shared" si="57"/>
        <v>32752</v>
      </c>
      <c r="W58" s="173">
        <f t="shared" si="57"/>
        <v>0</v>
      </c>
      <c r="X58" s="173">
        <f t="shared" si="57"/>
        <v>0</v>
      </c>
      <c r="Y58" s="185">
        <f>SUM(R58:X58)</f>
        <v>155939.5</v>
      </c>
      <c r="Z58" s="173">
        <f>Z61+Z62</f>
        <v>37133</v>
      </c>
      <c r="AA58" s="173">
        <f t="shared" ref="AA58:AF58" si="58">AA61+AA62</f>
        <v>25409.5</v>
      </c>
      <c r="AB58" s="173">
        <f t="shared" si="58"/>
        <v>30694.5</v>
      </c>
      <c r="AC58" s="173">
        <f t="shared" si="58"/>
        <v>30294</v>
      </c>
      <c r="AD58" s="173">
        <f t="shared" si="58"/>
        <v>31172</v>
      </c>
      <c r="AE58" s="173">
        <f t="shared" si="58"/>
        <v>25406</v>
      </c>
      <c r="AF58" s="173">
        <f t="shared" si="58"/>
        <v>0</v>
      </c>
      <c r="AG58" s="185">
        <f>SUM(Z58:AF58)</f>
        <v>180109</v>
      </c>
      <c r="AH58" s="173">
        <f>AH61+AH62</f>
        <v>30694.5</v>
      </c>
      <c r="AI58" s="173">
        <f t="shared" ref="AI58:AN58" si="59">AI61+AI62</f>
        <v>29803</v>
      </c>
      <c r="AJ58" s="173">
        <f t="shared" si="59"/>
        <v>28146.5</v>
      </c>
      <c r="AK58" s="173">
        <f t="shared" si="59"/>
        <v>24327.5</v>
      </c>
      <c r="AL58" s="173">
        <f t="shared" si="59"/>
        <v>0</v>
      </c>
      <c r="AM58" s="173">
        <f t="shared" si="59"/>
        <v>0</v>
      </c>
      <c r="AN58" s="173">
        <f t="shared" si="59"/>
        <v>0</v>
      </c>
      <c r="AO58" s="173"/>
      <c r="AP58" s="230">
        <f>AH58+AI58+AJ58+AK58+AL58+AM58+AN58+AO58</f>
        <v>112971.5</v>
      </c>
      <c r="AQ58" s="192">
        <f>I58+Q58+Y58+AG58+AP58</f>
        <v>713290.5</v>
      </c>
      <c r="AR58" s="47" t="s">
        <v>14</v>
      </c>
      <c r="AS58" s="47"/>
      <c r="AT58" s="47"/>
      <c r="AV58" s="47"/>
      <c r="AW58" s="47"/>
      <c r="AX58" s="47"/>
      <c r="AY58" s="47"/>
      <c r="AZ58" s="47"/>
    </row>
    <row r="59" spans="1:52" ht="15.75" thickBot="1">
      <c r="A59" s="183" t="s">
        <v>15</v>
      </c>
      <c r="B59" s="177" t="e">
        <f t="shared" ref="B59:I59" si="60">B58/B56</f>
        <v>#DIV/0!</v>
      </c>
      <c r="C59" s="177" t="e">
        <f t="shared" si="60"/>
        <v>#DIV/0!</v>
      </c>
      <c r="D59" s="177">
        <f>D58/D56</f>
        <v>0.34888958726168029</v>
      </c>
      <c r="E59" s="177">
        <f>E58/E56</f>
        <v>0.30518232137575529</v>
      </c>
      <c r="F59" s="177">
        <f>F58/F56</f>
        <v>0.25139780597543099</v>
      </c>
      <c r="G59" s="177" t="e">
        <f>G58/G56</f>
        <v>#DIV/0!</v>
      </c>
      <c r="H59" s="177" t="e">
        <f>H58/H56</f>
        <v>#DIV/0!</v>
      </c>
      <c r="I59" s="176">
        <f t="shared" si="60"/>
        <v>0.39000203945085105</v>
      </c>
      <c r="J59" s="177">
        <f t="shared" ref="J59:R59" si="61">J58/J56</f>
        <v>0.45424515541127392</v>
      </c>
      <c r="K59" s="177">
        <f t="shared" si="61"/>
        <v>0.34970448448960967</v>
      </c>
      <c r="L59" s="177">
        <f t="shared" si="61"/>
        <v>0.33226087143348232</v>
      </c>
      <c r="M59" s="177">
        <f t="shared" si="61"/>
        <v>0.29656442684632506</v>
      </c>
      <c r="N59" s="177">
        <f t="shared" si="61"/>
        <v>0.40243727785227906</v>
      </c>
      <c r="O59" s="177" t="e">
        <f t="shared" si="61"/>
        <v>#DIV/0!</v>
      </c>
      <c r="P59" s="177" t="e">
        <f t="shared" si="61"/>
        <v>#DIV/0!</v>
      </c>
      <c r="Q59" s="176">
        <f>Q58/Q56</f>
        <v>0.35984027698917953</v>
      </c>
      <c r="R59" s="177">
        <f t="shared" si="61"/>
        <v>0.31725682369058911</v>
      </c>
      <c r="S59" s="177">
        <f t="shared" ref="S59:Y59" si="62">S58/S56</f>
        <v>0.34842853269465407</v>
      </c>
      <c r="T59" s="177">
        <f t="shared" si="62"/>
        <v>0.42977707006369426</v>
      </c>
      <c r="U59" s="177">
        <f t="shared" si="62"/>
        <v>0.31920901064950741</v>
      </c>
      <c r="V59" s="177">
        <f t="shared" si="62"/>
        <v>0.44173500215796291</v>
      </c>
      <c r="W59" s="177">
        <f t="shared" si="62"/>
        <v>0</v>
      </c>
      <c r="X59" s="177" t="e">
        <f t="shared" si="62"/>
        <v>#DIV/0!</v>
      </c>
      <c r="Y59" s="176">
        <f t="shared" si="62"/>
        <v>0.29345584222510773</v>
      </c>
      <c r="Z59" s="177">
        <f t="shared" ref="Z59:AG59" si="63">Z58/Z56</f>
        <v>0.65867849223946784</v>
      </c>
      <c r="AA59" s="177">
        <f t="shared" si="63"/>
        <v>0.33517788125420467</v>
      </c>
      <c r="AB59" s="177">
        <f t="shared" si="63"/>
        <v>0.295542952877968</v>
      </c>
      <c r="AC59" s="177">
        <f t="shared" si="63"/>
        <v>0.26261312805575782</v>
      </c>
      <c r="AD59" s="177">
        <f t="shared" si="63"/>
        <v>0.33947551838299356</v>
      </c>
      <c r="AE59" s="177">
        <f t="shared" si="63"/>
        <v>0.26178798120517682</v>
      </c>
      <c r="AF59" s="177" t="e">
        <f t="shared" si="63"/>
        <v>#DIV/0!</v>
      </c>
      <c r="AG59" s="176">
        <f t="shared" si="63"/>
        <v>0.33336850093471782</v>
      </c>
      <c r="AH59" s="177">
        <f t="shared" ref="AH59:AO59" si="64">AH58/AH56</f>
        <v>0.2911722018270298</v>
      </c>
      <c r="AI59" s="177">
        <f t="shared" si="64"/>
        <v>0.30707963689942608</v>
      </c>
      <c r="AJ59" s="177">
        <f t="shared" si="64"/>
        <v>0.28278560879306358</v>
      </c>
      <c r="AK59" s="177">
        <f t="shared" si="64"/>
        <v>0.25025974961166148</v>
      </c>
      <c r="AL59" s="177" t="e">
        <f t="shared" si="64"/>
        <v>#DIV/0!</v>
      </c>
      <c r="AM59" s="177" t="e">
        <f t="shared" si="64"/>
        <v>#DIV/0!</v>
      </c>
      <c r="AN59" s="177" t="e">
        <f t="shared" si="64"/>
        <v>#DIV/0!</v>
      </c>
      <c r="AO59" s="177" t="e">
        <f t="shared" si="64"/>
        <v>#DIV/0!</v>
      </c>
      <c r="AP59" s="176">
        <f>AP58/(AP56+AP57)</f>
        <v>0.24711588940414733</v>
      </c>
      <c r="AQ59" s="316">
        <f>AQ58/(AQ56+AQ57)</f>
        <v>0.2726188474150717</v>
      </c>
      <c r="AR59" s="47"/>
      <c r="AS59" s="47"/>
      <c r="AT59" s="47"/>
      <c r="AV59" s="47"/>
      <c r="AW59" s="47"/>
      <c r="AX59" s="47"/>
      <c r="AY59" s="47"/>
      <c r="AZ59" s="47"/>
    </row>
    <row r="60" spans="1:52">
      <c r="A60" s="151"/>
      <c r="B60" s="178"/>
      <c r="C60" s="178"/>
      <c r="D60" s="178"/>
      <c r="E60" s="178"/>
      <c r="F60" s="178"/>
      <c r="G60" s="186"/>
      <c r="H60" s="178"/>
      <c r="I60" s="151"/>
      <c r="J60" s="178"/>
      <c r="K60" s="178"/>
      <c r="L60" s="178"/>
      <c r="M60" s="178"/>
      <c r="N60" s="178"/>
      <c r="O60" s="178"/>
      <c r="P60" s="188"/>
      <c r="Q60" s="151"/>
      <c r="R60" s="189"/>
      <c r="S60" s="189"/>
      <c r="T60" s="189"/>
      <c r="U60" s="189"/>
      <c r="V60" s="189"/>
      <c r="W60" s="189"/>
      <c r="X60" s="189"/>
      <c r="Y60" s="151"/>
      <c r="Z60" s="188"/>
      <c r="AA60" s="178"/>
      <c r="AB60" s="178"/>
      <c r="AC60" s="178"/>
      <c r="AD60" s="178"/>
      <c r="AE60" s="178"/>
      <c r="AF60" s="178"/>
      <c r="AG60" s="151"/>
      <c r="AH60" s="178"/>
      <c r="AI60" s="188"/>
      <c r="AJ60" s="189"/>
      <c r="AK60" s="189"/>
      <c r="AL60" s="189"/>
      <c r="AM60" s="189"/>
      <c r="AN60" s="189"/>
      <c r="AO60" s="189"/>
      <c r="AP60" s="151"/>
      <c r="AQ60" s="47"/>
      <c r="AR60" s="47"/>
      <c r="AS60" s="47"/>
      <c r="AU60" s="47"/>
      <c r="AV60" s="47"/>
      <c r="AW60" s="47"/>
      <c r="AX60" s="47"/>
      <c r="AY60" s="47"/>
    </row>
    <row r="61" spans="1:52" s="121" customFormat="1">
      <c r="A61" s="179" t="s">
        <v>16</v>
      </c>
      <c r="B61" s="180"/>
      <c r="C61" s="180"/>
      <c r="D61" s="180">
        <v>5490</v>
      </c>
      <c r="E61" s="180">
        <v>3750</v>
      </c>
      <c r="F61" s="219">
        <v>0</v>
      </c>
      <c r="G61" s="219">
        <v>0</v>
      </c>
      <c r="H61" s="219">
        <v>0</v>
      </c>
      <c r="I61" s="179"/>
      <c r="J61" s="180">
        <v>6640.5</v>
      </c>
      <c r="K61" s="180">
        <v>5890</v>
      </c>
      <c r="L61" s="180">
        <v>5177.5</v>
      </c>
      <c r="M61" s="180">
        <v>4617</v>
      </c>
      <c r="N61" s="180">
        <v>5850</v>
      </c>
      <c r="O61" s="219">
        <v>0</v>
      </c>
      <c r="P61" s="219">
        <v>0</v>
      </c>
      <c r="Q61" s="179"/>
      <c r="R61" s="180">
        <v>5170</v>
      </c>
      <c r="S61" s="180">
        <v>5750</v>
      </c>
      <c r="T61" s="180">
        <v>5652.5</v>
      </c>
      <c r="U61" s="180">
        <v>5985</v>
      </c>
      <c r="V61" s="180">
        <v>7790</v>
      </c>
      <c r="W61" s="180">
        <v>0</v>
      </c>
      <c r="X61" s="180">
        <v>0</v>
      </c>
      <c r="Y61" s="179"/>
      <c r="Z61" s="180">
        <v>11571</v>
      </c>
      <c r="AA61" s="180">
        <v>0</v>
      </c>
      <c r="AB61" s="180">
        <v>5766.5</v>
      </c>
      <c r="AC61" s="180">
        <v>4550</v>
      </c>
      <c r="AD61" s="180">
        <v>5410</v>
      </c>
      <c r="AE61" s="180">
        <v>0</v>
      </c>
      <c r="AF61" s="180">
        <v>0</v>
      </c>
      <c r="AG61" s="179"/>
      <c r="AH61" s="180">
        <v>6232</v>
      </c>
      <c r="AI61" s="180">
        <v>4590</v>
      </c>
      <c r="AJ61" s="180">
        <v>3667</v>
      </c>
      <c r="AK61" s="180">
        <v>0</v>
      </c>
      <c r="AL61" s="180"/>
      <c r="AM61" s="180"/>
      <c r="AN61" s="180"/>
      <c r="AO61" s="180">
        <f>SUM(D61:AN61)</f>
        <v>109549</v>
      </c>
      <c r="AP61" s="194" t="s">
        <v>16</v>
      </c>
      <c r="AR61" s="328">
        <f>+AQ66+AQ67</f>
        <v>2750187</v>
      </c>
      <c r="AS61" s="196"/>
      <c r="AU61" s="196"/>
      <c r="AV61" s="196"/>
      <c r="AW61" s="196"/>
      <c r="AX61" s="196"/>
      <c r="AY61" s="196"/>
    </row>
    <row r="62" spans="1:52" s="121" customFormat="1">
      <c r="A62" s="181" t="s">
        <v>17</v>
      </c>
      <c r="B62" s="160"/>
      <c r="C62" s="182"/>
      <c r="D62" s="160">
        <f>878+870+910.5+855.5+863.5+945.5+890+815+904.5+868.5+848.5+865+860+842.5+871.5+931.5+865+839.5+877.5+881.5+830.5+923+868.5+881.5+855+862.5+943+837</f>
        <v>24484.5</v>
      </c>
      <c r="E62" s="160">
        <f>888.5+881+906.5+838+860+894+988.5+937.5+909.5+969.5+932+893+901+933+905+878.5+881+918+867+839.5+997.5+973.5+894.5+871.5+856+824+792+911</f>
        <v>25141</v>
      </c>
      <c r="F62" s="182">
        <f>870+854+892.5+815+927+884.5+888.5+929+862+915+904+861.5+886+803.5+883.5+952.5+930.5+963+851.5+937+946+923.5+842+867.5+818.5+927+874.5+855</f>
        <v>24864.5</v>
      </c>
      <c r="G62" s="182">
        <f>786+876+874.5+879+866+928.5+912.5+854+890+914+958.5+948.5+931.5+986.5+969.5+961+801+982.5+916.5+1009.5+879+912.5+873.5+834.5+844.5+870.5+826+984.5</f>
        <v>25270.5</v>
      </c>
      <c r="H62" s="219">
        <v>0</v>
      </c>
      <c r="I62" s="181"/>
      <c r="J62" s="182">
        <f>888.5+888.5+889.5+942+885.5+866+897+881+926+864+841.5+857.5+939.5+872+913.5+889.5+933+889.5+933+923.5+968+948.5+872+903+905+933+855.5+957</f>
        <v>25262.5</v>
      </c>
      <c r="K62" s="182">
        <f>917.5+886.5+855.5+1002+959+941.5+935+908+876.5+920+779.5+965+935.5+880+898+907+975.5+932.5+978+854+885+887+852+987+923.5+878.5+922.5+886.5</f>
        <v>25528.5</v>
      </c>
      <c r="L62" s="160">
        <f>884.5+902+905+957.5+934.5+985+927.5+826+894+868.5+926+959+872+1058+904.5+941.5+980+893.5+953+979.5+900+894+861.5+904+894.5+852.5+918+976</f>
        <v>25752</v>
      </c>
      <c r="M62" s="160">
        <f>966+947.5+919.5+867+860+928.5+960.5+855.5+857+862+865.5+983+902.5+950+916+880.5+962+943+958.5+896+930.5+913+901.5+834.5+893+944.5+917.5+877</f>
        <v>25492</v>
      </c>
      <c r="N62" s="182">
        <f>882+927+907+912+856+890+930+944.5+984+970.5+818.5+820+903+849+855.5+882.5+894+875.5+837+933.5+933.5+857+915+920+880+896+958+829</f>
        <v>25060</v>
      </c>
      <c r="O62" s="219">
        <v>0</v>
      </c>
      <c r="P62" s="219">
        <v>0</v>
      </c>
      <c r="Q62" s="181"/>
      <c r="R62" s="160">
        <f>938+932+931.5+961.5+908.5+932+801.5+971.5+938+843.5+780.5+823.5+917.5+812.5+916.5+899.5+865+884.5+968.5+863+834+846.5+879.5+867+903+947+898.5+870</f>
        <v>24934.5</v>
      </c>
      <c r="S62" s="160">
        <f>1025.5+1022.5+902.5+889+884.5+886.5+895+881+878+890+889+821.5+810+910.5+797+827+864.5+875+892+881+873+897.5+911+1049.5+942.5+898+900.5+897.5</f>
        <v>25091.5</v>
      </c>
      <c r="T62" s="160">
        <f>836.5+894+893.5+857.5+865.5+959+866.5+953.5+932+899+893+960+940+933.5+904.5+916.5+901.5+860+858+895.5+939+916+897+908.5+945+909+941.5+910.5</f>
        <v>25386</v>
      </c>
      <c r="U62" s="160">
        <f>966.5+873+891+843+819.5+829+887+932+872.5+887+931.5+883+949.5+866.5+888.5+971+943+957+856+881.5+909+850.5+924+925.5+880.5+945+903+952.5</f>
        <v>25218</v>
      </c>
      <c r="V62" s="160">
        <f>881.5+917+928+802.5+876+891+919.5+934+919.5+910+871.5+960.5+845.5+946+907+963+900+982+868+800+826.5+831.5+904.5+904.5+826+802.5+904.5+939.5</f>
        <v>24962</v>
      </c>
      <c r="W62" s="160">
        <v>0</v>
      </c>
      <c r="X62" s="160">
        <v>0</v>
      </c>
      <c r="Y62" s="181"/>
      <c r="Z62" s="160">
        <f>949+936+953.5+969+904+894.5+923.5+944+922.5+890+872+889+945+871+922+924.5+909.5+1005.5+875.5+1055+875+920.5+827.5+872.5+843+932.5+831.5+904.5</f>
        <v>25562</v>
      </c>
      <c r="AA62" s="160">
        <f>888+886+908+893+841.5+903.5+889+892+929+980+968+1017.5+1052+878.5+905+941+875+900+902+873.5+921.5+947+933.5+838+886+804+883.5+873.5</f>
        <v>25409.5</v>
      </c>
      <c r="AB62" s="160">
        <f>774.5+984.5+862+881.5+901+969.5+939.5+873.5+803.5+868+906.5+917.5+874.5+801+854.5+947+862+930.5+905+875.5+876+854.5+888+939+948+816.5+947.5+927</f>
        <v>24928</v>
      </c>
      <c r="AC62" s="160">
        <f>850.5+958+956+905+958.5+942+834.5+859+907.5+959+934+933.5+904+825+966.5+966+929+986+957.5+961+904+884+860+931+909+986.5+878.5+898.5</f>
        <v>25744</v>
      </c>
      <c r="AD62" s="160">
        <f>897.5+886.5+908.5+882+888+960.5+924.5+854+920+938+955.5+997+969+858.5+978+916.5+888.5+882+904.5+970+979.5+906.5+933.5+938+910.5+862.5+945+907.5</f>
        <v>25762</v>
      </c>
      <c r="AE62" s="160">
        <f>853+890+928.5+917.5+840.5+909+913+950+883+946.5+901+978.5+882+925+951+927+958.5+959.5+961+901+840.5+803.5+935.5+920+908.5+844.5+896+882</f>
        <v>25406</v>
      </c>
      <c r="AF62" s="160">
        <v>0</v>
      </c>
      <c r="AG62" s="181"/>
      <c r="AH62" s="160">
        <f>841+816.5+912+882.5+827+891+832.5+864+790+864+870+843+838+874.5+881.5+885+886.5+877.5+930.5+934+892+901.5+847+894+885.5+939.5+866+896</f>
        <v>24462.5</v>
      </c>
      <c r="AI62" s="160">
        <f>893+993+968+938.5+892.5+865.5+872+871+904.5+909+904.5+978+853+844.5+939.5+887+921+918+923+882.5+887.5+873.5+869.5+861+924.5+911+884+844</f>
        <v>25213</v>
      </c>
      <c r="AJ62" s="160">
        <f>834.5+900.5+834.5+864.5+850+897+946.5+877.5+835.5+971+922+928.5+879.5+814.5+852+932+908+827.5+897.5+827+858+938+888+852+791.5+897.5+807+847.5</f>
        <v>24479.5</v>
      </c>
      <c r="AK62" s="160">
        <f>885.5+833+840+910+796.5+846+871.5+877+812.5+902+933+895+842+908+921+770+865+886+876.5+904.5+848+837+862.5+883.5+890+810.5+895+926</f>
        <v>24327.5</v>
      </c>
      <c r="AL62" s="190"/>
      <c r="AM62" s="160"/>
      <c r="AN62" s="160"/>
      <c r="AO62" s="180">
        <f>SUM(D62:AN62)</f>
        <v>603741.5</v>
      </c>
      <c r="AP62" s="195" t="s">
        <v>17</v>
      </c>
      <c r="AQ62" s="196"/>
      <c r="AR62" s="327">
        <v>2045368</v>
      </c>
      <c r="AS62" s="196"/>
      <c r="AT62" s="196"/>
    </row>
    <row r="63" spans="1:52" s="121" customFormat="1">
      <c r="A63" s="319" t="s">
        <v>174</v>
      </c>
      <c r="B63" s="160"/>
      <c r="C63" s="182"/>
      <c r="D63" s="219">
        <v>0</v>
      </c>
      <c r="E63" s="219">
        <v>0</v>
      </c>
      <c r="F63" s="219">
        <v>0</v>
      </c>
      <c r="G63" s="219">
        <v>0</v>
      </c>
      <c r="H63" s="219">
        <v>0</v>
      </c>
      <c r="I63" s="181"/>
      <c r="J63" s="219">
        <v>0</v>
      </c>
      <c r="K63" s="219">
        <v>0</v>
      </c>
      <c r="L63" s="160">
        <v>0</v>
      </c>
      <c r="M63" s="160">
        <v>0</v>
      </c>
      <c r="N63" s="182">
        <v>0</v>
      </c>
      <c r="O63" s="182">
        <v>0</v>
      </c>
      <c r="P63" s="160">
        <v>0</v>
      </c>
      <c r="Q63" s="181"/>
      <c r="R63" s="160">
        <v>0</v>
      </c>
      <c r="S63" s="160">
        <v>0</v>
      </c>
      <c r="T63" s="160">
        <v>0</v>
      </c>
      <c r="U63" s="160">
        <v>1990</v>
      </c>
      <c r="V63" s="160">
        <v>0</v>
      </c>
      <c r="W63" s="160">
        <v>0</v>
      </c>
      <c r="X63" s="160">
        <v>0</v>
      </c>
      <c r="Y63" s="181"/>
      <c r="Z63" s="160">
        <v>0</v>
      </c>
      <c r="AA63" s="160">
        <v>0</v>
      </c>
      <c r="AB63" s="160">
        <v>0</v>
      </c>
      <c r="AC63" s="160">
        <v>0</v>
      </c>
      <c r="AD63" s="160">
        <v>0</v>
      </c>
      <c r="AE63" s="160">
        <v>0</v>
      </c>
      <c r="AF63" s="160">
        <v>0</v>
      </c>
      <c r="AG63" s="181"/>
      <c r="AH63" s="160">
        <v>0</v>
      </c>
      <c r="AI63" s="160">
        <v>0</v>
      </c>
      <c r="AJ63" s="160">
        <v>0</v>
      </c>
      <c r="AK63" s="160">
        <v>1970</v>
      </c>
      <c r="AL63" s="190"/>
      <c r="AM63" s="160"/>
      <c r="AN63" s="160"/>
      <c r="AO63" s="180">
        <f>SUM(D63:AN63)</f>
        <v>3960</v>
      </c>
      <c r="AP63" s="227" t="s">
        <v>171</v>
      </c>
      <c r="AQ63" s="196"/>
      <c r="AR63" s="327">
        <f>+AR61-AR62</f>
        <v>704819</v>
      </c>
      <c r="AS63" s="196"/>
      <c r="AT63" s="196"/>
    </row>
    <row r="64" spans="1:52" ht="15.75" thickBot="1">
      <c r="A64" s="304" t="s">
        <v>23</v>
      </c>
      <c r="B64" s="163" t="s">
        <v>3</v>
      </c>
      <c r="C64" s="163" t="s">
        <v>4</v>
      </c>
      <c r="D64" s="163" t="s">
        <v>4</v>
      </c>
      <c r="E64" s="163" t="s">
        <v>5</v>
      </c>
      <c r="F64" s="163" t="s">
        <v>6</v>
      </c>
      <c r="G64" s="163" t="s">
        <v>7</v>
      </c>
      <c r="H64" s="163" t="s">
        <v>2</v>
      </c>
      <c r="I64" s="163"/>
      <c r="J64" s="163" t="s">
        <v>3</v>
      </c>
      <c r="K64" s="163" t="s">
        <v>4</v>
      </c>
      <c r="L64" s="163" t="s">
        <v>4</v>
      </c>
      <c r="M64" s="163" t="s">
        <v>5</v>
      </c>
      <c r="N64" s="163" t="s">
        <v>6</v>
      </c>
      <c r="O64" s="163" t="s">
        <v>7</v>
      </c>
      <c r="P64" s="163" t="s">
        <v>2</v>
      </c>
      <c r="Q64" s="163"/>
      <c r="R64" s="163" t="s">
        <v>3</v>
      </c>
      <c r="S64" s="163" t="s">
        <v>4</v>
      </c>
      <c r="T64" s="163" t="s">
        <v>4</v>
      </c>
      <c r="U64" s="163" t="s">
        <v>5</v>
      </c>
      <c r="V64" s="163" t="s">
        <v>6</v>
      </c>
      <c r="W64" s="163" t="s">
        <v>7</v>
      </c>
      <c r="X64" s="163" t="s">
        <v>2</v>
      </c>
      <c r="Y64" s="163"/>
      <c r="Z64" s="163" t="s">
        <v>3</v>
      </c>
      <c r="AA64" s="163" t="s">
        <v>4</v>
      </c>
      <c r="AB64" s="163" t="s">
        <v>4</v>
      </c>
      <c r="AC64" s="163" t="s">
        <v>5</v>
      </c>
      <c r="AD64" s="163" t="s">
        <v>6</v>
      </c>
      <c r="AE64" s="163" t="s">
        <v>7</v>
      </c>
      <c r="AF64" s="163" t="s">
        <v>2</v>
      </c>
      <c r="AG64" s="163"/>
      <c r="AH64" s="163" t="s">
        <v>3</v>
      </c>
      <c r="AI64" s="163" t="s">
        <v>4</v>
      </c>
      <c r="AJ64" s="163" t="s">
        <v>4</v>
      </c>
      <c r="AK64" s="163" t="s">
        <v>5</v>
      </c>
      <c r="AL64" s="163" t="s">
        <v>6</v>
      </c>
      <c r="AM64" s="163" t="s">
        <v>7</v>
      </c>
      <c r="AN64" s="163" t="s">
        <v>2</v>
      </c>
      <c r="AO64" s="163"/>
      <c r="AP64" s="151"/>
      <c r="AQ64" s="47"/>
      <c r="AR64" s="329">
        <v>934555</v>
      </c>
      <c r="AS64" s="231"/>
      <c r="AT64" s="47"/>
      <c r="AU64" s="47"/>
    </row>
    <row r="65" spans="1:52" ht="15.75" thickBot="1">
      <c r="A65" s="183" t="s">
        <v>8</v>
      </c>
      <c r="B65" s="168"/>
      <c r="C65" s="168"/>
      <c r="D65" s="168"/>
      <c r="E65" s="169"/>
      <c r="F65" s="169">
        <v>44743</v>
      </c>
      <c r="G65" s="169">
        <v>44744</v>
      </c>
      <c r="H65" s="169">
        <v>44745</v>
      </c>
      <c r="I65" s="166" t="s">
        <v>9</v>
      </c>
      <c r="J65" s="169">
        <v>44746</v>
      </c>
      <c r="K65" s="169">
        <v>44747</v>
      </c>
      <c r="L65" s="169">
        <v>44748</v>
      </c>
      <c r="M65" s="169">
        <v>44749</v>
      </c>
      <c r="N65" s="169">
        <v>44750</v>
      </c>
      <c r="O65" s="169">
        <v>44751</v>
      </c>
      <c r="P65" s="169">
        <v>44752</v>
      </c>
      <c r="Q65" s="166" t="s">
        <v>9</v>
      </c>
      <c r="R65" s="169">
        <v>44753</v>
      </c>
      <c r="S65" s="169">
        <v>44754</v>
      </c>
      <c r="T65" s="169">
        <v>44755</v>
      </c>
      <c r="U65" s="169">
        <v>44756</v>
      </c>
      <c r="V65" s="169">
        <v>44757</v>
      </c>
      <c r="W65" s="169">
        <v>44758</v>
      </c>
      <c r="X65" s="169">
        <v>44759</v>
      </c>
      <c r="Y65" s="166" t="s">
        <v>9</v>
      </c>
      <c r="Z65" s="169">
        <v>44760</v>
      </c>
      <c r="AA65" s="169">
        <v>44761</v>
      </c>
      <c r="AB65" s="169">
        <v>44762</v>
      </c>
      <c r="AC65" s="169">
        <v>44763</v>
      </c>
      <c r="AD65" s="169">
        <v>44764</v>
      </c>
      <c r="AE65" s="169">
        <v>44765</v>
      </c>
      <c r="AF65" s="169">
        <v>44766</v>
      </c>
      <c r="AG65" s="166" t="s">
        <v>9</v>
      </c>
      <c r="AH65" s="169">
        <v>44767</v>
      </c>
      <c r="AI65" s="169">
        <v>44768</v>
      </c>
      <c r="AJ65" s="169">
        <v>44769</v>
      </c>
      <c r="AK65" s="169">
        <v>44770</v>
      </c>
      <c r="AL65" s="169">
        <v>44771</v>
      </c>
      <c r="AM65" s="169">
        <v>44772</v>
      </c>
      <c r="AN65" s="169">
        <v>44773</v>
      </c>
      <c r="AO65" s="221"/>
      <c r="AP65" s="166" t="s">
        <v>9</v>
      </c>
      <c r="AQ65" s="191" t="s">
        <v>10</v>
      </c>
      <c r="AR65" s="121">
        <f>+AR64-AR63</f>
        <v>229736</v>
      </c>
      <c r="AV65" s="47"/>
      <c r="AW65" s="47"/>
      <c r="AX65" s="47"/>
      <c r="AY65" s="47"/>
      <c r="AZ65" s="47"/>
    </row>
    <row r="66" spans="1:52">
      <c r="A66" s="183" t="s">
        <v>11</v>
      </c>
      <c r="B66" s="172"/>
      <c r="C66" s="173"/>
      <c r="D66" s="173"/>
      <c r="E66" s="173"/>
      <c r="F66" s="173">
        <v>0</v>
      </c>
      <c r="G66" s="173">
        <v>97209</v>
      </c>
      <c r="H66" s="173">
        <v>0</v>
      </c>
      <c r="I66" s="185">
        <f>SUM(B66:H66)</f>
        <v>97209</v>
      </c>
      <c r="J66" s="173">
        <v>121100</v>
      </c>
      <c r="K66" s="173">
        <v>86269</v>
      </c>
      <c r="L66" s="173">
        <v>111941</v>
      </c>
      <c r="M66" s="173">
        <v>120800</v>
      </c>
      <c r="N66" s="173">
        <v>126941</v>
      </c>
      <c r="O66" s="173">
        <v>105527</v>
      </c>
      <c r="P66" s="173">
        <v>0</v>
      </c>
      <c r="Q66" s="185">
        <f>SUM(J66:P66)</f>
        <v>672578</v>
      </c>
      <c r="R66" s="173">
        <v>71994</v>
      </c>
      <c r="S66" s="173">
        <v>121723</v>
      </c>
      <c r="T66" s="173">
        <v>110275</v>
      </c>
      <c r="U66" s="173">
        <v>122032</v>
      </c>
      <c r="V66" s="173">
        <v>104522</v>
      </c>
      <c r="W66" s="173">
        <v>0</v>
      </c>
      <c r="X66" s="173">
        <v>0</v>
      </c>
      <c r="Y66" s="185">
        <f>SUM(R66:X66)</f>
        <v>530546</v>
      </c>
      <c r="Z66" s="173">
        <v>28846</v>
      </c>
      <c r="AA66" s="173">
        <v>122460</v>
      </c>
      <c r="AB66" s="173">
        <v>134236</v>
      </c>
      <c r="AC66" s="173">
        <v>83644</v>
      </c>
      <c r="AD66" s="173">
        <v>89323</v>
      </c>
      <c r="AE66" s="173">
        <v>96147</v>
      </c>
      <c r="AF66" s="173">
        <v>0</v>
      </c>
      <c r="AG66" s="185">
        <f>SUM(Z66:AF66)</f>
        <v>554656</v>
      </c>
      <c r="AH66" s="173">
        <v>109784</v>
      </c>
      <c r="AI66" s="173">
        <v>112127</v>
      </c>
      <c r="AJ66" s="173">
        <v>108251</v>
      </c>
      <c r="AK66" s="173">
        <v>121584</v>
      </c>
      <c r="AL66" s="173">
        <v>109416</v>
      </c>
      <c r="AM66" s="173">
        <v>103418</v>
      </c>
      <c r="AN66" s="173"/>
      <c r="AO66" s="222"/>
      <c r="AP66" s="185">
        <f>SUM(AH66:AN66)</f>
        <v>664580</v>
      </c>
      <c r="AQ66" s="192">
        <f>I66+Q66+Y66+AG66+AP66</f>
        <v>2519569</v>
      </c>
      <c r="AR66" s="47"/>
      <c r="AS66" s="47"/>
      <c r="AT66" s="47"/>
      <c r="AV66" s="47"/>
      <c r="AW66" s="47"/>
      <c r="AX66" s="47"/>
      <c r="AY66" s="47"/>
      <c r="AZ66" s="47"/>
    </row>
    <row r="67" spans="1:52">
      <c r="A67" s="183" t="s">
        <v>178</v>
      </c>
      <c r="B67" s="172"/>
      <c r="C67" s="173"/>
      <c r="D67" s="173"/>
      <c r="E67" s="173"/>
      <c r="F67" s="173">
        <v>0</v>
      </c>
      <c r="G67" s="173">
        <v>13423</v>
      </c>
      <c r="H67" s="173">
        <v>0</v>
      </c>
      <c r="I67" s="185">
        <f>SUM(B67:H67)</f>
        <v>13423</v>
      </c>
      <c r="J67" s="173">
        <v>13504</v>
      </c>
      <c r="K67" s="173">
        <v>13307</v>
      </c>
      <c r="L67" s="173">
        <v>17347</v>
      </c>
      <c r="M67" s="173">
        <v>30088</v>
      </c>
      <c r="N67" s="173">
        <v>10439</v>
      </c>
      <c r="O67" s="173">
        <v>9167</v>
      </c>
      <c r="P67" s="173">
        <v>0</v>
      </c>
      <c r="Q67" s="185">
        <f>SUM(J67:P67)</f>
        <v>93852</v>
      </c>
      <c r="R67" s="173">
        <v>26324</v>
      </c>
      <c r="S67" s="173">
        <v>10291</v>
      </c>
      <c r="T67" s="173">
        <v>11611</v>
      </c>
      <c r="U67" s="173">
        <v>15751</v>
      </c>
      <c r="V67" s="173">
        <v>10304</v>
      </c>
      <c r="W67" s="173">
        <v>0</v>
      </c>
      <c r="X67" s="173">
        <v>0</v>
      </c>
      <c r="Y67" s="185">
        <f>SUM(R67:X67)</f>
        <v>74281</v>
      </c>
      <c r="Z67" s="173"/>
      <c r="AA67" s="173">
        <v>6823</v>
      </c>
      <c r="AB67" s="173">
        <v>18073</v>
      </c>
      <c r="AC67" s="173">
        <v>6218</v>
      </c>
      <c r="AD67" s="173">
        <v>9632</v>
      </c>
      <c r="AE67" s="173">
        <v>8316</v>
      </c>
      <c r="AF67" s="173">
        <v>0</v>
      </c>
      <c r="AG67" s="185">
        <f>SUM(Z67:AF67)</f>
        <v>49062</v>
      </c>
      <c r="AH67" s="173"/>
      <c r="AI67" s="173"/>
      <c r="AJ67" s="173"/>
      <c r="AK67" s="173"/>
      <c r="AL67" s="173"/>
      <c r="AM67" s="173"/>
      <c r="AN67" s="173"/>
      <c r="AO67" s="222"/>
      <c r="AP67" s="185">
        <f t="shared" ref="AP67" si="65">SUM(AH67:AN67)</f>
        <v>0</v>
      </c>
      <c r="AQ67" s="192">
        <f>I67+Q67+Y67+AG67+AP67</f>
        <v>230618</v>
      </c>
      <c r="AR67" s="332">
        <f>AQ66+AQ67</f>
        <v>2750187</v>
      </c>
      <c r="AS67" s="47"/>
      <c r="AT67" s="47"/>
      <c r="AV67" s="47"/>
      <c r="AW67" s="47"/>
      <c r="AX67" s="47"/>
      <c r="AY67" s="47"/>
      <c r="AZ67" s="47"/>
    </row>
    <row r="68" spans="1:52">
      <c r="A68" s="183" t="s">
        <v>13</v>
      </c>
      <c r="B68" s="173">
        <f>B71+B72</f>
        <v>0</v>
      </c>
      <c r="C68" s="173">
        <f t="shared" ref="C68:D68" si="66">C71+C72</f>
        <v>0</v>
      </c>
      <c r="D68" s="173">
        <f t="shared" si="66"/>
        <v>0</v>
      </c>
      <c r="E68" s="173"/>
      <c r="F68" s="173">
        <f>F71+F72+F73</f>
        <v>4227.5</v>
      </c>
      <c r="G68" s="173">
        <f>G71+G72+G73</f>
        <v>4778.5</v>
      </c>
      <c r="H68" s="173">
        <f>H71+H72+H73</f>
        <v>0</v>
      </c>
      <c r="I68" s="185">
        <f>SUM(B68:H68)</f>
        <v>9006</v>
      </c>
      <c r="J68" s="173">
        <f>J71+J72+J73</f>
        <v>30072.5</v>
      </c>
      <c r="K68" s="173">
        <f t="shared" ref="K68:O68" si="67">K71+K72+K73</f>
        <v>30764</v>
      </c>
      <c r="L68" s="173">
        <f t="shared" si="67"/>
        <v>55091</v>
      </c>
      <c r="M68" s="173">
        <f t="shared" si="67"/>
        <v>25501</v>
      </c>
      <c r="N68" s="173">
        <f t="shared" si="67"/>
        <v>33389.5</v>
      </c>
      <c r="O68" s="173">
        <f t="shared" si="67"/>
        <v>5310.5</v>
      </c>
      <c r="P68" s="173">
        <f t="shared" ref="P68" si="68">P71+P72+P73</f>
        <v>0</v>
      </c>
      <c r="Q68" s="185">
        <f>SUM(J68:P68)</f>
        <v>180128.5</v>
      </c>
      <c r="R68" s="173">
        <f>R71+R72+R73</f>
        <v>56812.5</v>
      </c>
      <c r="S68" s="173">
        <f>S71+S72+S73</f>
        <v>29429.5</v>
      </c>
      <c r="T68" s="173">
        <f>T71+T72</f>
        <v>28070.5</v>
      </c>
      <c r="U68" s="173">
        <f t="shared" ref="U68:X68" si="69">U71+U72+U73</f>
        <v>22765</v>
      </c>
      <c r="V68" s="173">
        <f t="shared" si="69"/>
        <v>23880</v>
      </c>
      <c r="W68" s="173">
        <f t="shared" si="69"/>
        <v>8191</v>
      </c>
      <c r="X68" s="173">
        <f t="shared" si="69"/>
        <v>0</v>
      </c>
      <c r="Y68" s="185">
        <f>SUM(R68:X68)</f>
        <v>169148.5</v>
      </c>
      <c r="Z68" s="173">
        <f>Z71+Z72+Z73</f>
        <v>25807.5</v>
      </c>
      <c r="AA68" s="173">
        <f>AA71+AA72</f>
        <v>32572</v>
      </c>
      <c r="AB68" s="173">
        <f>AB71+AB72+AB73</f>
        <v>33199</v>
      </c>
      <c r="AC68" s="173">
        <f>AC71+AC72+AC73</f>
        <v>28459.5</v>
      </c>
      <c r="AD68" s="173">
        <f>AD71+AD72+AD73</f>
        <v>32398.5</v>
      </c>
      <c r="AE68" s="173">
        <f t="shared" ref="AE68:AF68" si="70">AE71+AE72+AE73</f>
        <v>28578</v>
      </c>
      <c r="AF68" s="173">
        <f t="shared" si="70"/>
        <v>0</v>
      </c>
      <c r="AG68" s="185">
        <f>SUM(Z68:AF68)</f>
        <v>181014.5</v>
      </c>
      <c r="AH68" s="173">
        <f t="shared" ref="AH68:AN68" si="71">AH71+AH72+AH73</f>
        <v>61129.5</v>
      </c>
      <c r="AI68" s="173">
        <f t="shared" si="71"/>
        <v>31269</v>
      </c>
      <c r="AJ68" s="173">
        <f t="shared" si="71"/>
        <v>30818</v>
      </c>
      <c r="AK68" s="173">
        <f t="shared" si="71"/>
        <v>29957.5</v>
      </c>
      <c r="AL68" s="173">
        <f>AL71+AL72</f>
        <v>39550</v>
      </c>
      <c r="AM68" s="173">
        <f t="shared" si="71"/>
        <v>31030</v>
      </c>
      <c r="AN68" s="173">
        <f t="shared" si="71"/>
        <v>0</v>
      </c>
      <c r="AO68" s="222"/>
      <c r="AP68" s="185">
        <f>SUM(AH68:AN68)</f>
        <v>223754</v>
      </c>
      <c r="AQ68" s="192">
        <f>I68+Q68+Y68+AG68+AP68</f>
        <v>763051.5</v>
      </c>
      <c r="AR68" s="47" t="s">
        <v>14</v>
      </c>
      <c r="AS68" s="47"/>
      <c r="AT68" s="47"/>
      <c r="AV68" s="47"/>
      <c r="AW68" s="47"/>
      <c r="AX68" s="47"/>
      <c r="AY68" s="47"/>
      <c r="AZ68" s="47"/>
    </row>
    <row r="69" spans="1:52" ht="15.75" thickBot="1">
      <c r="A69" s="183" t="s">
        <v>15</v>
      </c>
      <c r="B69" s="177" t="e">
        <f t="shared" ref="B69:I69" si="72">B68/B66</f>
        <v>#DIV/0!</v>
      </c>
      <c r="C69" s="177" t="e">
        <f t="shared" si="72"/>
        <v>#DIV/0!</v>
      </c>
      <c r="D69" s="177" t="e">
        <f t="shared" si="72"/>
        <v>#DIV/0!</v>
      </c>
      <c r="E69" s="177" t="e">
        <f t="shared" si="72"/>
        <v>#DIV/0!</v>
      </c>
      <c r="F69" s="177" t="e">
        <f t="shared" si="72"/>
        <v>#DIV/0!</v>
      </c>
      <c r="G69" s="177">
        <f t="shared" si="72"/>
        <v>4.9156971062350195E-2</v>
      </c>
      <c r="H69" s="177" t="e">
        <f t="shared" si="72"/>
        <v>#DIV/0!</v>
      </c>
      <c r="I69" s="176">
        <f t="shared" si="72"/>
        <v>9.2645742678147083E-2</v>
      </c>
      <c r="J69" s="177">
        <f t="shared" ref="J69:R69" si="73">J68/J66</f>
        <v>0.24832782824112304</v>
      </c>
      <c r="K69" s="177">
        <f t="shared" si="73"/>
        <v>0.35660550139679376</v>
      </c>
      <c r="L69" s="177">
        <f t="shared" si="73"/>
        <v>0.49214318256938921</v>
      </c>
      <c r="M69" s="177">
        <f t="shared" si="73"/>
        <v>0.21110099337748345</v>
      </c>
      <c r="N69" s="177">
        <f t="shared" si="73"/>
        <v>0.26303164462230483</v>
      </c>
      <c r="O69" s="177">
        <f t="shared" si="73"/>
        <v>5.0323613861855257E-2</v>
      </c>
      <c r="P69" s="177" t="e">
        <f t="shared" si="73"/>
        <v>#DIV/0!</v>
      </c>
      <c r="Q69" s="176">
        <f t="shared" si="73"/>
        <v>0.26781800772549802</v>
      </c>
      <c r="R69" s="177">
        <f t="shared" si="73"/>
        <v>0.7891282606883907</v>
      </c>
      <c r="S69" s="177">
        <f t="shared" ref="S69:Y69" si="74">S68/S66</f>
        <v>0.24177435653081175</v>
      </c>
      <c r="T69" s="177">
        <f t="shared" si="74"/>
        <v>0.25454998866470185</v>
      </c>
      <c r="U69" s="177">
        <f t="shared" si="74"/>
        <v>0.18654942965779467</v>
      </c>
      <c r="V69" s="177">
        <f t="shared" si="74"/>
        <v>0.2284686477487993</v>
      </c>
      <c r="W69" s="177" t="e">
        <f t="shared" si="74"/>
        <v>#DIV/0!</v>
      </c>
      <c r="X69" s="177" t="e">
        <f t="shared" si="74"/>
        <v>#DIV/0!</v>
      </c>
      <c r="Y69" s="176">
        <f t="shared" si="74"/>
        <v>0.31881966879403484</v>
      </c>
      <c r="Z69" s="177">
        <f t="shared" ref="Z69:AG69" si="75">Z68/Z66</f>
        <v>0.89466477154544821</v>
      </c>
      <c r="AA69" s="177">
        <f t="shared" si="75"/>
        <v>0.26598072840111059</v>
      </c>
      <c r="AB69" s="177">
        <f t="shared" si="75"/>
        <v>0.24731815608331595</v>
      </c>
      <c r="AC69" s="177">
        <f t="shared" si="75"/>
        <v>0.34024556453541199</v>
      </c>
      <c r="AD69" s="177">
        <f t="shared" si="75"/>
        <v>0.36271173158089182</v>
      </c>
      <c r="AE69" s="177">
        <f t="shared" si="75"/>
        <v>0.29723236294424166</v>
      </c>
      <c r="AF69" s="177" t="e">
        <f t="shared" si="75"/>
        <v>#DIV/0!</v>
      </c>
      <c r="AG69" s="176">
        <f t="shared" si="75"/>
        <v>0.32635453326025499</v>
      </c>
      <c r="AH69" s="177">
        <f t="shared" ref="AH69:AN69" si="76">AH68/AH66</f>
        <v>0.55681611163739708</v>
      </c>
      <c r="AI69" s="177">
        <f t="shared" si="76"/>
        <v>0.27887127988798416</v>
      </c>
      <c r="AJ69" s="177">
        <f t="shared" si="76"/>
        <v>0.28469021071398881</v>
      </c>
      <c r="AK69" s="177">
        <f t="shared" si="76"/>
        <v>0.24639343992630608</v>
      </c>
      <c r="AL69" s="177">
        <f t="shared" si="76"/>
        <v>0.36146450244936756</v>
      </c>
      <c r="AM69" s="177">
        <f t="shared" si="76"/>
        <v>0.30004447968438763</v>
      </c>
      <c r="AN69" s="177" t="e">
        <f t="shared" si="76"/>
        <v>#DIV/0!</v>
      </c>
      <c r="AO69" s="224"/>
      <c r="AP69" s="176">
        <f>AP68/(AP66+AP67)</f>
        <v>0.3366848234975473</v>
      </c>
      <c r="AQ69" s="316">
        <f>AQ68/(AQ66+AQ67)</f>
        <v>0.27745440582767644</v>
      </c>
      <c r="AR69" s="47"/>
      <c r="AS69" s="47"/>
      <c r="AT69" s="47"/>
      <c r="AV69" s="47"/>
      <c r="AW69" s="47"/>
      <c r="AX69" s="47"/>
      <c r="AY69" s="47"/>
      <c r="AZ69" s="47"/>
    </row>
    <row r="70" spans="1:52">
      <c r="A70" s="151"/>
      <c r="B70" s="178"/>
      <c r="C70" s="178"/>
      <c r="D70" s="178"/>
      <c r="E70" s="178"/>
      <c r="F70" s="178"/>
      <c r="G70" s="186"/>
      <c r="H70" s="178"/>
      <c r="I70" s="151"/>
      <c r="J70" s="178"/>
      <c r="K70" s="178"/>
      <c r="L70" s="178"/>
      <c r="M70" s="178"/>
      <c r="N70" s="178"/>
      <c r="O70" s="178"/>
      <c r="P70" s="188"/>
      <c r="Q70" s="151"/>
      <c r="R70" s="189"/>
      <c r="S70" s="189"/>
      <c r="T70" s="189"/>
      <c r="U70" s="189"/>
      <c r="V70" s="189"/>
      <c r="W70" s="189"/>
      <c r="X70" s="189"/>
      <c r="Y70" s="151"/>
      <c r="Z70" s="188"/>
      <c r="AA70" s="178"/>
      <c r="AB70" s="178"/>
      <c r="AC70" s="178"/>
      <c r="AD70" s="178"/>
      <c r="AE70" s="178"/>
      <c r="AF70" s="178"/>
      <c r="AG70" s="151"/>
      <c r="AH70" s="178"/>
      <c r="AI70" s="188"/>
      <c r="AJ70" s="189"/>
      <c r="AK70" s="189"/>
      <c r="AL70" s="189"/>
      <c r="AM70" s="189"/>
      <c r="AN70" s="189"/>
      <c r="AO70" s="189"/>
      <c r="AP70" s="151"/>
      <c r="AQ70" s="47"/>
      <c r="AR70" s="47"/>
      <c r="AS70" s="47"/>
      <c r="AU70" s="47"/>
      <c r="AV70" s="47"/>
      <c r="AW70" s="47"/>
      <c r="AX70" s="47"/>
      <c r="AY70" s="47"/>
    </row>
    <row r="71" spans="1:52" s="121" customFormat="1">
      <c r="A71" s="179" t="s">
        <v>16</v>
      </c>
      <c r="B71" s="180"/>
      <c r="C71" s="180"/>
      <c r="D71" s="180"/>
      <c r="E71" s="180"/>
      <c r="F71" s="219">
        <v>4227.5</v>
      </c>
      <c r="G71" s="219">
        <v>4778.5</v>
      </c>
      <c r="H71" s="219">
        <v>0</v>
      </c>
      <c r="I71" s="179"/>
      <c r="J71" s="180">
        <v>4617</v>
      </c>
      <c r="K71" s="180">
        <v>5301</v>
      </c>
      <c r="L71" s="180">
        <v>5130</v>
      </c>
      <c r="M71" s="180">
        <v>0</v>
      </c>
      <c r="N71" s="180">
        <v>8070</v>
      </c>
      <c r="O71" s="180">
        <v>5310.5</v>
      </c>
      <c r="P71" s="180">
        <v>0</v>
      </c>
      <c r="Q71" s="179"/>
      <c r="R71" s="180">
        <v>5529</v>
      </c>
      <c r="S71" s="180">
        <v>4161</v>
      </c>
      <c r="T71" s="180">
        <v>4550</v>
      </c>
      <c r="U71" s="180">
        <v>22765</v>
      </c>
      <c r="V71" s="180">
        <v>23880</v>
      </c>
      <c r="W71" s="180">
        <v>8191</v>
      </c>
      <c r="X71" s="180">
        <v>0</v>
      </c>
      <c r="Y71" s="179"/>
      <c r="Z71" s="180">
        <v>3610</v>
      </c>
      <c r="AA71" s="180">
        <v>8979</v>
      </c>
      <c r="AB71" s="180">
        <v>8820</v>
      </c>
      <c r="AC71" s="180">
        <v>3600.5</v>
      </c>
      <c r="AD71" s="180">
        <v>7533.5</v>
      </c>
      <c r="AE71" s="180">
        <v>3390</v>
      </c>
      <c r="AF71" s="180">
        <v>0</v>
      </c>
      <c r="AG71" s="179"/>
      <c r="AH71" s="180">
        <f>6127.5+5251</f>
        <v>11378.5</v>
      </c>
      <c r="AI71" s="180">
        <v>5652.5</v>
      </c>
      <c r="AJ71" s="180">
        <v>4880</v>
      </c>
      <c r="AK71" s="180">
        <v>4465</v>
      </c>
      <c r="AL71" s="180">
        <f>8010+5690</f>
        <v>13700</v>
      </c>
      <c r="AM71" s="180">
        <v>5250</v>
      </c>
      <c r="AN71" s="180"/>
      <c r="AO71" s="180">
        <f>SUM(F71:AN71)</f>
        <v>187769.5</v>
      </c>
      <c r="AP71" s="194" t="s">
        <v>16</v>
      </c>
      <c r="AR71" s="196"/>
      <c r="AS71" s="196"/>
      <c r="AU71" s="196"/>
      <c r="AV71" s="196"/>
      <c r="AW71" s="196"/>
      <c r="AX71" s="196"/>
      <c r="AY71" s="196"/>
    </row>
    <row r="72" spans="1:52" s="121" customFormat="1">
      <c r="A72" s="181" t="s">
        <v>17</v>
      </c>
      <c r="B72" s="160"/>
      <c r="C72" s="182"/>
      <c r="D72" s="160"/>
      <c r="E72" s="160"/>
      <c r="F72" s="219">
        <v>0</v>
      </c>
      <c r="G72" s="219">
        <v>0</v>
      </c>
      <c r="H72" s="219">
        <v>0</v>
      </c>
      <c r="I72" s="181"/>
      <c r="J72" s="182">
        <f>871+847+946.5+889+932.5+889+947.5+914.5+1048.5+892+928.5+958+818.5+941+895+869.5+853+798+867+959.5+844.5+903.5+898.5+967+951.5+993.5+867+964.5</f>
        <v>25455.5</v>
      </c>
      <c r="K72" s="182">
        <f>988.5+1036.5+929+984+895.5+941+857+856+969+846+890+859+939.5+857+917+863+906.5+892.5+966.5+882+925.5+905.5+817+927+885+859.5+917+951</f>
        <v>25463</v>
      </c>
      <c r="L72" s="160">
        <f>869.5+906.5+965+875.5+879.5+892.5+863.5+991.5+872.5+914+878+976.5+955+1005+938+922+891.5+953+877+826.5+921+791+953.5+880+843.5+867.5+800.5+845.5+953+831+895+828+941+875.5+813.5+822.5+858+826+827.5+900.5+879.5+903+877.5+966.5+843+989.5+1001+979.5+852+957+848.5+828+988+856+841+824.5</f>
        <v>49961</v>
      </c>
      <c r="M72" s="160">
        <f>853.5+830.5+839+907.5+917+875.5+946.5+913+925+834+941+990+971+901.5+871+982+927+889+913+916+952.5+911+907+884+934+956+907.5+906</f>
        <v>25501</v>
      </c>
      <c r="N72" s="182">
        <f>826.5+995.5+899+801.5+922.5+942+852.5+907.5+889.5+899.5+933.5+944.5+900.5+901+852+901.5+833.5+938.5+927+917.5+932.5+953.5+835.5+975+939+901.5+861+936</f>
        <v>25319.5</v>
      </c>
      <c r="O72" s="182">
        <v>0</v>
      </c>
      <c r="P72" s="160">
        <v>0</v>
      </c>
      <c r="Q72" s="181"/>
      <c r="R72" s="160">
        <f>884.5+942+940.5+936+996+908+914.5+888.5+981.5+912.5+833+963+888+908.5+969.5+987.5+984.5+910+944.5+898.5+909+952+880.5+866.5+947.5+870.5+849+872.5+829.5+891.5+822.5+930.5+875+964+918+855+955.5+931.5+858+940.5+960.5+946.5+910+933.5+939.5+917+904+896.5+933.5+851.5+945+933.5+995.5+898+942.5+866.5</f>
        <v>51283.5</v>
      </c>
      <c r="S72" s="160">
        <f>1018.5+804.5+813.5+887+835+954.5+906.5+955+990.5+917+899.5+963+910+834+926+848.5+868+824+798+993+937+923+918+854+927.5+866+933+964</f>
        <v>25268.5</v>
      </c>
      <c r="T72" s="160">
        <f>921+877+1025+854+904+880.5+896.5+937+903+936.5+866.5+841+960+954+941+855.5+891+880.5+852.5+936+899.5+892.5+804.5+909+900.5+335+349.5+317.5</f>
        <v>23520.5</v>
      </c>
      <c r="U72" s="160">
        <v>0</v>
      </c>
      <c r="V72" s="160">
        <v>0</v>
      </c>
      <c r="W72" s="160">
        <v>0</v>
      </c>
      <c r="X72" s="160">
        <v>0</v>
      </c>
      <c r="Y72" s="181"/>
      <c r="Z72" s="160">
        <f>446.5+699.5+946+868.5+879+300.5+878+405.5+834+887.5+874+935.5+927+342.5+925+358+887+920+885+905.5+864+897+846+856+883+957.5+819+970.5</f>
        <v>22197.5</v>
      </c>
      <c r="AA72" s="160">
        <f>916.5+906.5+910.5+900+902.5+965.5+816.5+827+921.5+887+907+938+856+876.5+921.5+893+821.5+911.5+947+454.5+399.5+905+380+889.5+906.5+912.5+843.5+876.5</f>
        <v>23593</v>
      </c>
      <c r="AB72" s="160">
        <f>864.5+813+297.5+957+903.5+919+893.5+929.5+918.5+867.5+841+860.5+847.5+859+874.5+956+844.5+900+910.5+974+953.5+927.5+849.5+870+862+926.5+849+910</f>
        <v>24379</v>
      </c>
      <c r="AC72" s="160">
        <f>896.5+900+954+876.5+925.5+1000.5+856.5+835+837.5+882.5+900+828.5+886+942+881.5+884.5+920.5+879+876.5+893.5+889+848.5+855.5+852+933+841+872.5+911</f>
        <v>24859</v>
      </c>
      <c r="AD72" s="160">
        <f>823+884.5+889+934.5+918.5+888.5+892.5+857+934.5+931+830.5+909.5+947+881+837+956.5+879.5+889.5+850.5+856.5+979.5+922.5+879+842+884+883+850.5+834</f>
        <v>24865</v>
      </c>
      <c r="AE72" s="160">
        <f>863+862+922+962.5+839.5+955.5+957.5+904+868.5+935+884.5+907+916+919+870+839.5+899+905.5+883.5+869+901+814+922.5+914.5+895+884+918+976.5</f>
        <v>25188</v>
      </c>
      <c r="AF72" s="160">
        <v>0</v>
      </c>
      <c r="AG72" s="181"/>
      <c r="AH72" s="160">
        <f>853+915+860.5+878.5+885+887+868.5+936.5+894.5+928+949+907+955+943+911.5+848+882.5+889+807.5+884.5+883+954.5+912+875+921.5+862+874+920+949+838.5+907+930.5+886.5+841.5+900+800.5+871+869.5+846.5+789.5+977.5+842+920+862+970+809+955+832+852+854+851+927.5+939.5+928+872.5+843.5</f>
        <v>49751</v>
      </c>
      <c r="AI72" s="160">
        <f>844+905.5+890+899.5+953.5+939.5+907.5+865+950+831.5+955+904+983.5+954.5+947.5+957+977+891.5+871+953.5+941+846.5+861+961+949+855.5+910.5+911.5</f>
        <v>25616.5</v>
      </c>
      <c r="AJ72" s="160">
        <f>909+948+903.5+873+904+894+902.5+948+935+876.5+970+953+905.5+961+974.5+914.5+962+955.5+943.5+959+878+951.5+930.5+881+867.5+953.5+975+909</f>
        <v>25938</v>
      </c>
      <c r="AK72" s="160">
        <f>855+845+908+838+969.5+938.5+969.5+864.5+912.5+897.5+851+900.5+914.5+891.5+913.5+949+921+896.5+896.5+938.5+910+931.5+926.5+975+844+940.5+966+928.5</f>
        <v>25492.5</v>
      </c>
      <c r="AL72" s="190">
        <f>874.5+932.5+936.5+942.5+939.5+943.5+927+999+899.5+932+822.5+864+894.5+855+1059+886.5+933+935+910+898+911+958+902.5+930+912.5+964.5+980+907.5</f>
        <v>25850</v>
      </c>
      <c r="AM72" s="160">
        <f>901.5+917+973+918+893+918.5+886.5+923+901.5+956+888.5+985.5+994+964.5+840.5+997+908+919.5+856+891+883+953+920.5+863+944+914.5+966.5+903</f>
        <v>25780</v>
      </c>
      <c r="AN72" s="160"/>
      <c r="AO72" s="160">
        <f>SUM(F72:AM72)</f>
        <v>575282</v>
      </c>
      <c r="AP72" s="195" t="s">
        <v>17</v>
      </c>
      <c r="AQ72" s="196"/>
      <c r="AR72" s="196"/>
      <c r="AS72" s="196"/>
      <c r="AT72" s="196"/>
    </row>
    <row r="73" spans="1:52" s="121" customFormat="1">
      <c r="A73" s="319" t="s">
        <v>174</v>
      </c>
      <c r="B73" s="160"/>
      <c r="C73" s="182"/>
      <c r="D73" s="160"/>
      <c r="E73" s="160"/>
      <c r="F73" s="219">
        <v>0</v>
      </c>
      <c r="G73" s="219">
        <v>0</v>
      </c>
      <c r="H73" s="219">
        <v>0</v>
      </c>
      <c r="I73" s="181"/>
      <c r="J73" s="182">
        <v>0</v>
      </c>
      <c r="K73" s="182">
        <v>0</v>
      </c>
      <c r="L73" s="160">
        <v>0</v>
      </c>
      <c r="M73" s="160">
        <v>0</v>
      </c>
      <c r="N73" s="182">
        <v>0</v>
      </c>
      <c r="O73" s="182">
        <v>0</v>
      </c>
      <c r="P73" s="160">
        <v>0</v>
      </c>
      <c r="Q73" s="181"/>
      <c r="R73" s="160">
        <v>0</v>
      </c>
      <c r="S73" s="160">
        <v>0</v>
      </c>
      <c r="T73" s="160">
        <v>2530</v>
      </c>
      <c r="U73" s="160">
        <v>0</v>
      </c>
      <c r="V73" s="160">
        <v>0</v>
      </c>
      <c r="W73" s="160"/>
      <c r="X73" s="160"/>
      <c r="Y73" s="181"/>
      <c r="Z73" s="160"/>
      <c r="AA73" s="160">
        <v>2751</v>
      </c>
      <c r="AB73" s="160"/>
      <c r="AC73" s="160"/>
      <c r="AD73" s="160"/>
      <c r="AE73" s="160"/>
      <c r="AF73" s="160"/>
      <c r="AG73" s="181"/>
      <c r="AH73" s="160"/>
      <c r="AI73" s="160"/>
      <c r="AJ73" s="160"/>
      <c r="AK73" s="160"/>
      <c r="AL73" s="190">
        <v>2100</v>
      </c>
      <c r="AM73" s="160"/>
      <c r="AN73" s="160"/>
      <c r="AO73" s="160">
        <f>SUM(F73:AN73)</f>
        <v>7381</v>
      </c>
      <c r="AP73" s="227" t="s">
        <v>171</v>
      </c>
      <c r="AQ73" s="196"/>
      <c r="AR73" s="196"/>
      <c r="AS73" s="196"/>
      <c r="AT73" s="196"/>
    </row>
    <row r="74" spans="1:52" ht="15.75" thickBot="1">
      <c r="A74" s="304" t="s">
        <v>24</v>
      </c>
      <c r="B74" s="163" t="s">
        <v>3</v>
      </c>
      <c r="C74" s="163" t="s">
        <v>4</v>
      </c>
      <c r="D74" s="163" t="s">
        <v>4</v>
      </c>
      <c r="E74" s="163" t="s">
        <v>5</v>
      </c>
      <c r="F74" s="163" t="s">
        <v>6</v>
      </c>
      <c r="G74" s="163" t="s">
        <v>7</v>
      </c>
      <c r="H74" s="163" t="s">
        <v>2</v>
      </c>
      <c r="I74" s="163"/>
      <c r="J74" s="163" t="s">
        <v>3</v>
      </c>
      <c r="K74" s="163" t="s">
        <v>4</v>
      </c>
      <c r="L74" s="163" t="s">
        <v>4</v>
      </c>
      <c r="M74" s="163" t="s">
        <v>5</v>
      </c>
      <c r="N74" s="163" t="s">
        <v>6</v>
      </c>
      <c r="O74" s="163" t="s">
        <v>7</v>
      </c>
      <c r="P74" s="163" t="s">
        <v>2</v>
      </c>
      <c r="Q74" s="163"/>
      <c r="R74" s="163" t="s">
        <v>3</v>
      </c>
      <c r="S74" s="163" t="s">
        <v>4</v>
      </c>
      <c r="T74" s="163" t="s">
        <v>4</v>
      </c>
      <c r="U74" s="163" t="s">
        <v>5</v>
      </c>
      <c r="V74" s="163" t="s">
        <v>6</v>
      </c>
      <c r="W74" s="163" t="s">
        <v>7</v>
      </c>
      <c r="X74" s="163" t="s">
        <v>2</v>
      </c>
      <c r="Y74" s="163"/>
      <c r="Z74" s="163" t="s">
        <v>3</v>
      </c>
      <c r="AA74" s="163" t="s">
        <v>4</v>
      </c>
      <c r="AB74" s="163" t="s">
        <v>4</v>
      </c>
      <c r="AC74" s="163" t="s">
        <v>5</v>
      </c>
      <c r="AD74" s="163" t="s">
        <v>6</v>
      </c>
      <c r="AE74" s="163" t="s">
        <v>7</v>
      </c>
      <c r="AF74" s="163" t="s">
        <v>2</v>
      </c>
      <c r="AG74" s="163"/>
      <c r="AH74" s="163" t="s">
        <v>3</v>
      </c>
      <c r="AI74" s="163" t="s">
        <v>4</v>
      </c>
      <c r="AJ74" s="163" t="s">
        <v>4</v>
      </c>
      <c r="AK74" s="163" t="s">
        <v>5</v>
      </c>
      <c r="AL74" s="163" t="s">
        <v>6</v>
      </c>
      <c r="AM74" s="163" t="s">
        <v>7</v>
      </c>
      <c r="AN74" s="163" t="s">
        <v>2</v>
      </c>
      <c r="AO74" s="163"/>
      <c r="AP74" s="151"/>
      <c r="AQ74" s="47">
        <f>SUM(B74:AP74)</f>
        <v>0</v>
      </c>
      <c r="AR74" s="231" t="s">
        <v>25</v>
      </c>
      <c r="AS74" s="47"/>
      <c r="AT74" s="180"/>
      <c r="AU74" s="47"/>
    </row>
    <row r="75" spans="1:52" ht="15.75" thickBot="1">
      <c r="A75" s="183" t="s">
        <v>8</v>
      </c>
      <c r="B75" s="169">
        <v>44774</v>
      </c>
      <c r="C75" s="169">
        <v>44775</v>
      </c>
      <c r="D75" s="169">
        <v>44776</v>
      </c>
      <c r="E75" s="169">
        <v>44777</v>
      </c>
      <c r="F75" s="169">
        <v>44778</v>
      </c>
      <c r="G75" s="169">
        <v>44779</v>
      </c>
      <c r="H75" s="169">
        <v>44780</v>
      </c>
      <c r="I75" s="166" t="s">
        <v>9</v>
      </c>
      <c r="J75" s="169">
        <v>44781</v>
      </c>
      <c r="K75" s="169">
        <v>44782</v>
      </c>
      <c r="L75" s="169">
        <v>44783</v>
      </c>
      <c r="M75" s="169">
        <v>44784</v>
      </c>
      <c r="N75" s="169">
        <v>44785</v>
      </c>
      <c r="O75" s="169">
        <v>44786</v>
      </c>
      <c r="P75" s="169">
        <v>44787</v>
      </c>
      <c r="Q75" s="166" t="s">
        <v>9</v>
      </c>
      <c r="R75" s="169">
        <v>44788</v>
      </c>
      <c r="S75" s="169">
        <v>44789</v>
      </c>
      <c r="T75" s="169">
        <v>44790</v>
      </c>
      <c r="U75" s="169">
        <v>44791</v>
      </c>
      <c r="V75" s="169">
        <v>44792</v>
      </c>
      <c r="W75" s="169">
        <v>44793</v>
      </c>
      <c r="X75" s="169">
        <v>44794</v>
      </c>
      <c r="Y75" s="166" t="s">
        <v>9</v>
      </c>
      <c r="Z75" s="169">
        <v>44795</v>
      </c>
      <c r="AA75" s="169">
        <v>44796</v>
      </c>
      <c r="AB75" s="169">
        <v>44797</v>
      </c>
      <c r="AC75" s="169">
        <v>44798</v>
      </c>
      <c r="AD75" s="169">
        <v>44799</v>
      </c>
      <c r="AE75" s="169">
        <v>44800</v>
      </c>
      <c r="AF75" s="169">
        <v>44801</v>
      </c>
      <c r="AG75" s="166" t="s">
        <v>9</v>
      </c>
      <c r="AH75" s="169">
        <v>44802</v>
      </c>
      <c r="AI75" s="169">
        <v>44803</v>
      </c>
      <c r="AJ75" s="169">
        <v>44804</v>
      </c>
      <c r="AK75" s="169"/>
      <c r="AL75" s="169"/>
      <c r="AM75" s="169"/>
      <c r="AN75" s="169"/>
      <c r="AO75" s="221"/>
      <c r="AP75" s="166" t="s">
        <v>9</v>
      </c>
      <c r="AQ75" s="191" t="s">
        <v>10</v>
      </c>
      <c r="AV75" s="47"/>
      <c r="AW75" s="47"/>
      <c r="AX75" s="47"/>
      <c r="AY75" s="47"/>
      <c r="AZ75" s="47"/>
    </row>
    <row r="76" spans="1:52">
      <c r="A76" s="183" t="s">
        <v>11</v>
      </c>
      <c r="B76" s="172">
        <v>54519</v>
      </c>
      <c r="C76" s="173">
        <v>131870</v>
      </c>
      <c r="D76" s="173">
        <v>66404</v>
      </c>
      <c r="E76" s="173">
        <v>137771</v>
      </c>
      <c r="F76" s="173">
        <v>83739</v>
      </c>
      <c r="G76" s="173"/>
      <c r="H76" s="173"/>
      <c r="I76" s="185">
        <f>SUM(B76:H76)</f>
        <v>474303</v>
      </c>
      <c r="J76" s="173">
        <v>120222</v>
      </c>
      <c r="K76" s="173">
        <v>39620</v>
      </c>
      <c r="L76" s="173">
        <v>130620</v>
      </c>
      <c r="M76" s="173">
        <v>131653</v>
      </c>
      <c r="N76" s="173">
        <v>86898</v>
      </c>
      <c r="O76" s="173">
        <v>18747</v>
      </c>
      <c r="P76" s="173"/>
      <c r="Q76" s="185">
        <f>SUM(J76:P76)</f>
        <v>527760</v>
      </c>
      <c r="R76" s="173">
        <v>143043</v>
      </c>
      <c r="S76" s="173">
        <v>159681</v>
      </c>
      <c r="T76" s="173">
        <v>141937</v>
      </c>
      <c r="U76" s="173">
        <v>176171</v>
      </c>
      <c r="V76" s="173">
        <v>157384</v>
      </c>
      <c r="W76" s="173">
        <v>75094</v>
      </c>
      <c r="X76" s="173">
        <v>0</v>
      </c>
      <c r="Y76" s="185">
        <f>SUM(R76:X76)</f>
        <v>853310</v>
      </c>
      <c r="Z76" s="173">
        <v>104698</v>
      </c>
      <c r="AA76" s="173">
        <v>103423</v>
      </c>
      <c r="AB76" s="173">
        <v>95127</v>
      </c>
      <c r="AC76" s="173">
        <v>128291</v>
      </c>
      <c r="AD76" s="173">
        <v>119866</v>
      </c>
      <c r="AE76" s="173">
        <v>127585</v>
      </c>
      <c r="AF76" s="173"/>
      <c r="AG76" s="185">
        <f>SUM(Z76:AF76)</f>
        <v>678990</v>
      </c>
      <c r="AH76" s="173">
        <v>105581</v>
      </c>
      <c r="AI76" s="173">
        <v>131004</v>
      </c>
      <c r="AJ76" s="173">
        <v>134962</v>
      </c>
      <c r="AK76" s="173"/>
      <c r="AL76" s="173"/>
      <c r="AM76" s="173"/>
      <c r="AN76" s="173"/>
      <c r="AO76" s="222"/>
      <c r="AP76" s="185">
        <f>SUM(AH76:AJ76)</f>
        <v>371547</v>
      </c>
      <c r="AQ76" s="192">
        <f>I76+Q76+Y76+AG76+AP76</f>
        <v>2905910</v>
      </c>
      <c r="AR76" s="47"/>
      <c r="AS76" s="47"/>
      <c r="AT76" s="47"/>
      <c r="AV76" s="47"/>
      <c r="AW76" s="47"/>
      <c r="AX76" s="47"/>
      <c r="AY76" s="47"/>
      <c r="AZ76" s="47"/>
    </row>
    <row r="77" spans="1:52">
      <c r="A77" s="183" t="s">
        <v>178</v>
      </c>
      <c r="B77" s="172">
        <v>13434</v>
      </c>
      <c r="C77" s="173">
        <v>4872</v>
      </c>
      <c r="D77" s="173">
        <v>26223</v>
      </c>
      <c r="E77" s="173">
        <v>17357</v>
      </c>
      <c r="F77" s="173">
        <v>18082</v>
      </c>
      <c r="G77" s="173"/>
      <c r="H77" s="173"/>
      <c r="I77" s="185">
        <f>SUM(B77:H77)</f>
        <v>79968</v>
      </c>
      <c r="J77" s="173">
        <v>10648</v>
      </c>
      <c r="K77" s="173">
        <v>4362</v>
      </c>
      <c r="L77" s="173">
        <v>3914</v>
      </c>
      <c r="M77" s="173">
        <v>13349</v>
      </c>
      <c r="N77" s="173">
        <v>19064</v>
      </c>
      <c r="O77" s="173">
        <v>14522</v>
      </c>
      <c r="P77" s="173"/>
      <c r="Q77" s="185">
        <f>SUM(J77:P77)</f>
        <v>65859</v>
      </c>
      <c r="R77" s="173">
        <v>14940</v>
      </c>
      <c r="S77" s="173">
        <v>19760</v>
      </c>
      <c r="T77" s="173">
        <v>17800</v>
      </c>
      <c r="U77" s="173">
        <v>17868</v>
      </c>
      <c r="V77" s="173">
        <v>18160</v>
      </c>
      <c r="W77" s="173">
        <v>15188</v>
      </c>
      <c r="X77" s="173">
        <v>0</v>
      </c>
      <c r="Y77" s="185">
        <f>SUM(R77:X77)</f>
        <v>103716</v>
      </c>
      <c r="Z77" s="173">
        <v>9604</v>
      </c>
      <c r="AA77" s="173">
        <v>5230</v>
      </c>
      <c r="AB77" s="173">
        <v>7210</v>
      </c>
      <c r="AC77" s="173">
        <v>5381</v>
      </c>
      <c r="AD77" s="173">
        <v>11122</v>
      </c>
      <c r="AE77" s="173">
        <v>15450</v>
      </c>
      <c r="AF77" s="173"/>
      <c r="AG77" s="185">
        <f>SUM(Z77:AF77)</f>
        <v>53997</v>
      </c>
      <c r="AH77" s="173">
        <v>6680</v>
      </c>
      <c r="AI77" s="173">
        <v>11773</v>
      </c>
      <c r="AJ77" s="173">
        <v>8600</v>
      </c>
      <c r="AK77" s="173"/>
      <c r="AL77" s="173"/>
      <c r="AM77" s="173"/>
      <c r="AN77" s="173"/>
      <c r="AO77" s="222"/>
      <c r="AP77" s="185">
        <f>SUM(AH77:AJ77)</f>
        <v>27053</v>
      </c>
      <c r="AQ77" s="192">
        <f>I77+Q77+Y77+AG77+AP77</f>
        <v>330593</v>
      </c>
      <c r="AR77" s="317">
        <f>AQ76+AQ77</f>
        <v>3236503</v>
      </c>
      <c r="AS77" s="47"/>
      <c r="AT77" s="47"/>
      <c r="AV77" s="47"/>
      <c r="AW77" s="47"/>
      <c r="AX77" s="47"/>
      <c r="AY77" s="47"/>
      <c r="AZ77" s="47"/>
    </row>
    <row r="78" spans="1:52">
      <c r="A78" s="183" t="s">
        <v>13</v>
      </c>
      <c r="B78" s="173">
        <f t="shared" ref="B78:F78" si="77">B81+B82</f>
        <v>29917</v>
      </c>
      <c r="C78" s="173">
        <f t="shared" si="77"/>
        <v>32866</v>
      </c>
      <c r="D78" s="173">
        <f t="shared" si="77"/>
        <v>41177</v>
      </c>
      <c r="E78" s="173">
        <f>E81+E82</f>
        <v>30225</v>
      </c>
      <c r="F78" s="173">
        <f t="shared" si="77"/>
        <v>34335</v>
      </c>
      <c r="G78" s="173">
        <f>G81+G82</f>
        <v>28386</v>
      </c>
      <c r="H78" s="173">
        <f t="shared" ref="H78" si="78">H81+H82</f>
        <v>0</v>
      </c>
      <c r="I78" s="185">
        <f>SUM(B78:H78)</f>
        <v>196906</v>
      </c>
      <c r="J78" s="173">
        <f t="shared" ref="J78:O78" si="79">J81+J82</f>
        <v>29715</v>
      </c>
      <c r="K78" s="173">
        <f>K81+K82</f>
        <v>29099</v>
      </c>
      <c r="L78" s="173">
        <f t="shared" si="79"/>
        <v>28008</v>
      </c>
      <c r="M78" s="173">
        <f t="shared" si="79"/>
        <v>30621</v>
      </c>
      <c r="N78" s="173">
        <f t="shared" si="79"/>
        <v>33082</v>
      </c>
      <c r="O78" s="173">
        <f t="shared" si="79"/>
        <v>3670</v>
      </c>
      <c r="P78" s="173">
        <f t="shared" ref="P78" si="80">P81+P82</f>
        <v>0</v>
      </c>
      <c r="Q78" s="185">
        <f>SUM(J78:P78)</f>
        <v>154195</v>
      </c>
      <c r="R78" s="173">
        <f t="shared" ref="R78:X78" si="81">R81+R82</f>
        <v>79825</v>
      </c>
      <c r="S78" s="173">
        <f t="shared" si="81"/>
        <v>25304</v>
      </c>
      <c r="T78" s="173">
        <f t="shared" si="81"/>
        <v>60483</v>
      </c>
      <c r="U78" s="173">
        <f t="shared" si="81"/>
        <v>30172</v>
      </c>
      <c r="V78" s="173">
        <f>V81+V82</f>
        <v>30486</v>
      </c>
      <c r="W78" s="173">
        <f t="shared" si="81"/>
        <v>31007</v>
      </c>
      <c r="X78" s="173">
        <f t="shared" si="81"/>
        <v>0</v>
      </c>
      <c r="Y78" s="185">
        <f>SUM(R78:X78)</f>
        <v>257277</v>
      </c>
      <c r="Z78" s="173">
        <f t="shared" ref="Z78:AF78" si="82">Z81+Z82</f>
        <v>30005</v>
      </c>
      <c r="AA78" s="173">
        <f>AA81+AA82</f>
        <v>53816</v>
      </c>
      <c r="AB78" s="173">
        <f t="shared" si="82"/>
        <v>58332</v>
      </c>
      <c r="AC78" s="173">
        <f>AC81+AC82</f>
        <v>30901</v>
      </c>
      <c r="AD78" s="173">
        <f t="shared" si="82"/>
        <v>30055</v>
      </c>
      <c r="AE78" s="173">
        <f t="shared" si="82"/>
        <v>29869</v>
      </c>
      <c r="AF78" s="173">
        <f t="shared" si="82"/>
        <v>0</v>
      </c>
      <c r="AG78" s="185">
        <f>SUM(Z78:AF78)</f>
        <v>232978</v>
      </c>
      <c r="AH78" s="173">
        <f t="shared" ref="AH78" si="83">AH81+AH82</f>
        <v>57484</v>
      </c>
      <c r="AI78" s="173">
        <f>AI81+AI82</f>
        <v>36915</v>
      </c>
      <c r="AJ78" s="173">
        <f>AJ81+AJ82</f>
        <v>28451</v>
      </c>
      <c r="AK78" s="173"/>
      <c r="AL78" s="173"/>
      <c r="AM78" s="173"/>
      <c r="AN78" s="173"/>
      <c r="AO78" s="222"/>
      <c r="AP78" s="185">
        <f>SUM(AH78:AJ78)</f>
        <v>122850</v>
      </c>
      <c r="AQ78" s="192">
        <f>I78+Q78+Y78+AG78+AP78</f>
        <v>964206</v>
      </c>
      <c r="AR78" s="47" t="s">
        <v>14</v>
      </c>
      <c r="AS78" s="47"/>
      <c r="AT78" s="47"/>
      <c r="AV78" s="47"/>
      <c r="AW78" s="47"/>
      <c r="AX78" s="47"/>
      <c r="AY78" s="47"/>
      <c r="AZ78" s="47"/>
    </row>
    <row r="79" spans="1:52" ht="15.75" thickBot="1">
      <c r="A79" s="183" t="s">
        <v>15</v>
      </c>
      <c r="B79" s="177">
        <f t="shared" ref="B79:I79" si="84">B78/B76</f>
        <v>0.548744474403419</v>
      </c>
      <c r="C79" s="177">
        <f t="shared" si="84"/>
        <v>0.24923030257071357</v>
      </c>
      <c r="D79" s="177">
        <f t="shared" si="84"/>
        <v>0.62009818685621343</v>
      </c>
      <c r="E79" s="177">
        <f t="shared" si="84"/>
        <v>0.21938579236559219</v>
      </c>
      <c r="F79" s="177">
        <f t="shared" si="84"/>
        <v>0.41002400315265286</v>
      </c>
      <c r="G79" s="177" t="e">
        <f t="shared" si="84"/>
        <v>#DIV/0!</v>
      </c>
      <c r="H79" s="177" t="e">
        <f t="shared" si="84"/>
        <v>#DIV/0!</v>
      </c>
      <c r="I79" s="176">
        <f t="shared" si="84"/>
        <v>0.41514812261360357</v>
      </c>
      <c r="J79" s="177">
        <f t="shared" ref="J79:R79" si="85">J78/J76</f>
        <v>0.24716773968158906</v>
      </c>
      <c r="K79" s="177">
        <f t="shared" si="85"/>
        <v>0.73445229681978796</v>
      </c>
      <c r="L79" s="177">
        <f t="shared" si="85"/>
        <v>0.21442351860358291</v>
      </c>
      <c r="M79" s="177">
        <f t="shared" si="85"/>
        <v>0.2325886990801577</v>
      </c>
      <c r="N79" s="177">
        <f t="shared" si="85"/>
        <v>0.38069921056871275</v>
      </c>
      <c r="O79" s="177">
        <f t="shared" si="85"/>
        <v>0.19576465567824186</v>
      </c>
      <c r="P79" s="177" t="e">
        <f t="shared" si="85"/>
        <v>#DIV/0!</v>
      </c>
      <c r="Q79" s="176">
        <f t="shared" si="85"/>
        <v>0.29216878884341368</v>
      </c>
      <c r="R79" s="177">
        <f t="shared" si="85"/>
        <v>0.5580489782792587</v>
      </c>
      <c r="S79" s="177">
        <f t="shared" ref="S79:Y79" si="86">S78/S76</f>
        <v>0.15846594147080742</v>
      </c>
      <c r="T79" s="177">
        <f t="shared" si="86"/>
        <v>0.42612567547573926</v>
      </c>
      <c r="U79" s="177">
        <f t="shared" si="86"/>
        <v>0.17126541825839667</v>
      </c>
      <c r="V79" s="177">
        <f t="shared" si="86"/>
        <v>0.1937045697148376</v>
      </c>
      <c r="W79" s="177">
        <f t="shared" si="86"/>
        <v>0.41290915386049487</v>
      </c>
      <c r="X79" s="177" t="e">
        <f t="shared" si="86"/>
        <v>#DIV/0!</v>
      </c>
      <c r="Y79" s="176">
        <f t="shared" si="86"/>
        <v>0.30150472864492389</v>
      </c>
      <c r="Z79" s="177">
        <f t="shared" ref="Z79:AG79" si="87">Z78/Z76</f>
        <v>0.28658618120689983</v>
      </c>
      <c r="AA79" s="177">
        <f t="shared" si="87"/>
        <v>0.52034847180994559</v>
      </c>
      <c r="AB79" s="177">
        <f t="shared" si="87"/>
        <v>0.6132012993156517</v>
      </c>
      <c r="AC79" s="177">
        <f t="shared" si="87"/>
        <v>0.24086646763997474</v>
      </c>
      <c r="AD79" s="177">
        <f t="shared" si="87"/>
        <v>0.25073832446231625</v>
      </c>
      <c r="AE79" s="177">
        <f t="shared" si="87"/>
        <v>0.23411059293804132</v>
      </c>
      <c r="AF79" s="177" t="e">
        <f t="shared" si="87"/>
        <v>#DIV/0!</v>
      </c>
      <c r="AG79" s="176">
        <f t="shared" si="87"/>
        <v>0.34312434645576517</v>
      </c>
      <c r="AH79" s="177">
        <f t="shared" ref="AH79:AN79" si="88">AH78/AH76</f>
        <v>0.54445402108333885</v>
      </c>
      <c r="AI79" s="177">
        <f t="shared" si="88"/>
        <v>0.28178528899880917</v>
      </c>
      <c r="AJ79" s="177">
        <f t="shared" si="88"/>
        <v>0.21080748655177012</v>
      </c>
      <c r="AK79" s="177" t="e">
        <f t="shared" si="88"/>
        <v>#DIV/0!</v>
      </c>
      <c r="AL79" s="177" t="e">
        <f t="shared" si="88"/>
        <v>#DIV/0!</v>
      </c>
      <c r="AM79" s="177" t="e">
        <f t="shared" si="88"/>
        <v>#DIV/0!</v>
      </c>
      <c r="AN79" s="177" t="e">
        <f t="shared" si="88"/>
        <v>#DIV/0!</v>
      </c>
      <c r="AO79" s="224"/>
      <c r="AP79" s="176">
        <f>AP78/AP76</f>
        <v>0.33064457524889179</v>
      </c>
      <c r="AQ79" s="316">
        <f>AQ78/(AQ76+AQ77)</f>
        <v>0.29791599142654895</v>
      </c>
      <c r="AR79" s="47"/>
      <c r="AS79" s="47"/>
      <c r="AT79" s="47"/>
      <c r="AV79" s="47"/>
      <c r="AW79" s="47"/>
      <c r="AX79" s="47"/>
      <c r="AY79" s="47"/>
      <c r="AZ79" s="47"/>
    </row>
    <row r="80" spans="1:52">
      <c r="A80" s="151"/>
      <c r="B80" s="178"/>
      <c r="C80" s="178"/>
      <c r="D80" s="178"/>
      <c r="E80" s="178"/>
      <c r="F80" s="178"/>
      <c r="G80" s="186"/>
      <c r="H80" s="178"/>
      <c r="I80" s="151"/>
      <c r="J80" s="178"/>
      <c r="K80" s="178"/>
      <c r="L80" s="178"/>
      <c r="M80" s="178"/>
      <c r="N80" s="178"/>
      <c r="O80" s="178"/>
      <c r="P80" s="188"/>
      <c r="Q80" s="151"/>
      <c r="R80" s="189"/>
      <c r="S80" s="189"/>
      <c r="T80" s="189"/>
      <c r="U80" s="189"/>
      <c r="V80" s="189"/>
      <c r="W80" s="189"/>
      <c r="X80" s="189"/>
      <c r="Y80" s="151"/>
      <c r="Z80" s="188"/>
      <c r="AA80" s="178"/>
      <c r="AB80" s="178"/>
      <c r="AC80" s="178"/>
      <c r="AD80" s="178"/>
      <c r="AE80" s="178"/>
      <c r="AF80" s="178"/>
      <c r="AG80" s="151"/>
      <c r="AH80" s="178"/>
      <c r="AI80" s="188"/>
      <c r="AJ80" s="189"/>
      <c r="AK80" s="189"/>
      <c r="AL80" s="189"/>
      <c r="AM80" s="189"/>
      <c r="AN80" s="189"/>
      <c r="AO80" s="189"/>
      <c r="AP80" s="151"/>
      <c r="AQ80" s="47"/>
      <c r="AR80" s="47"/>
      <c r="AS80" s="47"/>
      <c r="AU80" s="47"/>
      <c r="AV80" s="47"/>
      <c r="AW80" s="47"/>
      <c r="AX80" s="47"/>
      <c r="AY80" s="47"/>
    </row>
    <row r="81" spans="1:52" s="121" customFormat="1">
      <c r="A81" s="179" t="s">
        <v>16</v>
      </c>
      <c r="B81" s="180">
        <v>4769</v>
      </c>
      <c r="C81" s="180">
        <v>7590</v>
      </c>
      <c r="D81" s="180">
        <v>16198</v>
      </c>
      <c r="E81" s="180">
        <v>5187</v>
      </c>
      <c r="F81" s="180">
        <v>8187</v>
      </c>
      <c r="G81" s="180">
        <v>3000</v>
      </c>
      <c r="H81" s="180">
        <v>0</v>
      </c>
      <c r="I81" s="179"/>
      <c r="J81" s="180">
        <v>4590</v>
      </c>
      <c r="K81" s="180">
        <v>4300</v>
      </c>
      <c r="L81" s="180">
        <v>2800</v>
      </c>
      <c r="M81" s="180">
        <v>5330</v>
      </c>
      <c r="N81" s="180">
        <v>7840</v>
      </c>
      <c r="O81" s="180">
        <v>3670</v>
      </c>
      <c r="P81" s="180">
        <v>0</v>
      </c>
      <c r="Q81" s="179"/>
      <c r="R81" s="180">
        <v>4700</v>
      </c>
      <c r="S81" s="180">
        <v>0</v>
      </c>
      <c r="T81" s="180">
        <v>9504</v>
      </c>
      <c r="U81" s="180">
        <v>5548</v>
      </c>
      <c r="V81" s="180">
        <v>4710</v>
      </c>
      <c r="W81" s="180">
        <v>5565</v>
      </c>
      <c r="X81" s="180">
        <v>0</v>
      </c>
      <c r="Y81" s="179"/>
      <c r="Z81" s="180">
        <v>4085</v>
      </c>
      <c r="AA81" s="180">
        <v>2880</v>
      </c>
      <c r="AB81" s="180">
        <v>7505</v>
      </c>
      <c r="AC81" s="180">
        <v>5580</v>
      </c>
      <c r="AD81" s="180">
        <v>4530</v>
      </c>
      <c r="AE81" s="180">
        <v>4389</v>
      </c>
      <c r="AF81" s="180">
        <v>0</v>
      </c>
      <c r="AG81" s="179"/>
      <c r="AH81" s="180">
        <v>7141</v>
      </c>
      <c r="AI81" s="180">
        <v>19790</v>
      </c>
      <c r="AJ81" s="180">
        <v>12760</v>
      </c>
      <c r="AK81" s="180"/>
      <c r="AL81" s="180"/>
      <c r="AM81" s="180"/>
      <c r="AN81" s="180"/>
      <c r="AO81" s="180">
        <f>SUM(B81:AN81)</f>
        <v>172148</v>
      </c>
      <c r="AP81" s="194" t="s">
        <v>16</v>
      </c>
      <c r="AR81" s="196"/>
      <c r="AS81" s="196"/>
      <c r="AU81" s="196"/>
      <c r="AV81" s="196"/>
      <c r="AW81" s="196"/>
      <c r="AX81" s="196"/>
      <c r="AY81" s="196"/>
    </row>
    <row r="82" spans="1:52" s="121" customFormat="1">
      <c r="A82" s="181" t="s">
        <v>17</v>
      </c>
      <c r="B82" s="160">
        <v>25148</v>
      </c>
      <c r="C82" s="182">
        <v>25276</v>
      </c>
      <c r="D82" s="160">
        <v>24979</v>
      </c>
      <c r="E82" s="160">
        <v>25038</v>
      </c>
      <c r="F82" s="182">
        <v>26148</v>
      </c>
      <c r="G82" s="182">
        <v>25386</v>
      </c>
      <c r="H82" s="182">
        <v>0</v>
      </c>
      <c r="I82" s="181"/>
      <c r="J82" s="182">
        <v>25125</v>
      </c>
      <c r="K82" s="182">
        <v>24799</v>
      </c>
      <c r="L82" s="160">
        <v>25208</v>
      </c>
      <c r="M82" s="160">
        <v>25291</v>
      </c>
      <c r="N82" s="182">
        <v>25242</v>
      </c>
      <c r="O82" s="182">
        <v>0</v>
      </c>
      <c r="P82" s="160">
        <v>0</v>
      </c>
      <c r="Q82" s="181"/>
      <c r="R82" s="160">
        <v>75125</v>
      </c>
      <c r="S82" s="160">
        <v>25304</v>
      </c>
      <c r="T82" s="160">
        <v>50979</v>
      </c>
      <c r="U82" s="160">
        <v>24624</v>
      </c>
      <c r="V82" s="160">
        <v>25776</v>
      </c>
      <c r="W82" s="160">
        <v>25442</v>
      </c>
      <c r="X82" s="160">
        <v>0</v>
      </c>
      <c r="Y82" s="181"/>
      <c r="Z82" s="160">
        <v>25920</v>
      </c>
      <c r="AA82" s="160">
        <v>50936</v>
      </c>
      <c r="AB82" s="160">
        <v>50827</v>
      </c>
      <c r="AC82" s="160">
        <v>25321</v>
      </c>
      <c r="AD82" s="160">
        <v>25525</v>
      </c>
      <c r="AE82" s="160">
        <v>25480</v>
      </c>
      <c r="AF82" s="160">
        <v>0</v>
      </c>
      <c r="AG82" s="181"/>
      <c r="AH82" s="160">
        <v>50343</v>
      </c>
      <c r="AI82" s="160">
        <v>17125</v>
      </c>
      <c r="AJ82" s="160">
        <v>15691</v>
      </c>
      <c r="AK82" s="160"/>
      <c r="AL82" s="190"/>
      <c r="AM82" s="160"/>
      <c r="AN82" s="160"/>
      <c r="AO82" s="180">
        <f>SUM(B82:AN82)</f>
        <v>792058</v>
      </c>
      <c r="AP82" s="195" t="s">
        <v>17</v>
      </c>
      <c r="AQ82" s="196"/>
      <c r="AR82" s="196"/>
      <c r="AS82" s="196"/>
      <c r="AT82" s="196"/>
    </row>
    <row r="83" spans="1:52" s="121" customFormat="1">
      <c r="A83" s="319" t="s">
        <v>174</v>
      </c>
      <c r="B83" s="160">
        <v>0</v>
      </c>
      <c r="C83" s="182">
        <v>0</v>
      </c>
      <c r="D83" s="160">
        <v>0</v>
      </c>
      <c r="E83" s="160">
        <v>5010</v>
      </c>
      <c r="F83" s="182">
        <v>0</v>
      </c>
      <c r="G83" s="182">
        <v>0</v>
      </c>
      <c r="H83" s="182">
        <v>0</v>
      </c>
      <c r="I83" s="181"/>
      <c r="J83" s="182">
        <v>0</v>
      </c>
      <c r="K83" s="182">
        <v>1490</v>
      </c>
      <c r="L83" s="160">
        <v>0</v>
      </c>
      <c r="M83" s="160">
        <v>0</v>
      </c>
      <c r="N83" s="182">
        <v>0</v>
      </c>
      <c r="O83" s="182"/>
      <c r="P83" s="160"/>
      <c r="Q83" s="181"/>
      <c r="R83" s="160"/>
      <c r="S83" s="160"/>
      <c r="T83" s="160"/>
      <c r="U83" s="160"/>
      <c r="V83" s="160">
        <v>2673</v>
      </c>
      <c r="W83" s="160"/>
      <c r="X83" s="160"/>
      <c r="Y83" s="181"/>
      <c r="Z83" s="160"/>
      <c r="AA83" s="160">
        <v>320</v>
      </c>
      <c r="AB83" s="160"/>
      <c r="AC83" s="160">
        <v>3627</v>
      </c>
      <c r="AD83" s="160"/>
      <c r="AE83" s="160"/>
      <c r="AF83" s="160"/>
      <c r="AG83" s="181"/>
      <c r="AH83" s="160"/>
      <c r="AI83" s="160"/>
      <c r="AJ83" s="160"/>
      <c r="AK83" s="160"/>
      <c r="AL83" s="190"/>
      <c r="AM83" s="160"/>
      <c r="AN83" s="160"/>
      <c r="AO83" s="180">
        <f>SUM(B83:AN83)</f>
        <v>13120</v>
      </c>
      <c r="AP83" s="227" t="s">
        <v>171</v>
      </c>
      <c r="AQ83" s="196"/>
      <c r="AR83" s="196"/>
      <c r="AS83" s="196"/>
      <c r="AT83" s="196"/>
    </row>
    <row r="84" spans="1:52" ht="15.75" thickBot="1">
      <c r="A84" s="304" t="s">
        <v>26</v>
      </c>
      <c r="B84" s="163" t="s">
        <v>3</v>
      </c>
      <c r="C84" s="163" t="s">
        <v>4</v>
      </c>
      <c r="D84" s="163" t="s">
        <v>4</v>
      </c>
      <c r="E84" s="163" t="s">
        <v>5</v>
      </c>
      <c r="F84" s="163" t="s">
        <v>6</v>
      </c>
      <c r="G84" s="163" t="s">
        <v>7</v>
      </c>
      <c r="H84" s="163" t="s">
        <v>2</v>
      </c>
      <c r="I84" s="163"/>
      <c r="J84" s="163" t="s">
        <v>3</v>
      </c>
      <c r="K84" s="163" t="s">
        <v>4</v>
      </c>
      <c r="L84" s="163" t="s">
        <v>4</v>
      </c>
      <c r="M84" s="163" t="s">
        <v>5</v>
      </c>
      <c r="N84" s="163" t="s">
        <v>6</v>
      </c>
      <c r="O84" s="163" t="s">
        <v>7</v>
      </c>
      <c r="P84" s="163" t="s">
        <v>2</v>
      </c>
      <c r="Q84" s="163"/>
      <c r="R84" s="163" t="s">
        <v>3</v>
      </c>
      <c r="S84" s="163" t="s">
        <v>4</v>
      </c>
      <c r="T84" s="163" t="s">
        <v>4</v>
      </c>
      <c r="U84" s="163" t="s">
        <v>5</v>
      </c>
      <c r="V84" s="163" t="s">
        <v>6</v>
      </c>
      <c r="W84" s="163" t="s">
        <v>7</v>
      </c>
      <c r="X84" s="163" t="s">
        <v>2</v>
      </c>
      <c r="Y84" s="163"/>
      <c r="Z84" s="163" t="s">
        <v>3</v>
      </c>
      <c r="AA84" s="163" t="s">
        <v>4</v>
      </c>
      <c r="AB84" s="163" t="s">
        <v>4</v>
      </c>
      <c r="AC84" s="163" t="s">
        <v>5</v>
      </c>
      <c r="AD84" s="163" t="s">
        <v>6</v>
      </c>
      <c r="AE84" s="163" t="s">
        <v>7</v>
      </c>
      <c r="AF84" s="163" t="s">
        <v>2</v>
      </c>
      <c r="AG84" s="163"/>
      <c r="AH84" s="163" t="s">
        <v>3</v>
      </c>
      <c r="AI84" s="163" t="s">
        <v>4</v>
      </c>
      <c r="AJ84" s="163" t="s">
        <v>4</v>
      </c>
      <c r="AK84" s="163" t="s">
        <v>5</v>
      </c>
      <c r="AL84" s="163" t="s">
        <v>6</v>
      </c>
      <c r="AM84" s="163" t="s">
        <v>7</v>
      </c>
      <c r="AN84" s="163" t="s">
        <v>2</v>
      </c>
      <c r="AO84" s="163"/>
      <c r="AP84" s="151"/>
      <c r="AQ84" s="161"/>
      <c r="AR84" s="161"/>
      <c r="AS84" s="161"/>
      <c r="AT84" s="161"/>
      <c r="AU84" s="161"/>
      <c r="AV84" s="161"/>
      <c r="AW84" s="161"/>
      <c r="AX84" s="161"/>
      <c r="AY84" s="161"/>
    </row>
    <row r="85" spans="1:52" ht="15.75" thickBot="1">
      <c r="A85" s="183" t="s">
        <v>8</v>
      </c>
      <c r="B85" s="168"/>
      <c r="C85" s="168"/>
      <c r="D85" s="169"/>
      <c r="E85" s="169">
        <v>44805</v>
      </c>
      <c r="F85" s="169">
        <v>44806</v>
      </c>
      <c r="G85" s="169">
        <v>44807</v>
      </c>
      <c r="H85" s="169">
        <v>44808</v>
      </c>
      <c r="I85" s="166" t="s">
        <v>9</v>
      </c>
      <c r="J85" s="169">
        <v>44809</v>
      </c>
      <c r="K85" s="169">
        <v>44810</v>
      </c>
      <c r="L85" s="169">
        <v>44811</v>
      </c>
      <c r="M85" s="169">
        <v>44812</v>
      </c>
      <c r="N85" s="169">
        <v>44813</v>
      </c>
      <c r="O85" s="169">
        <v>44814</v>
      </c>
      <c r="P85" s="169">
        <v>44815</v>
      </c>
      <c r="Q85" s="166" t="s">
        <v>9</v>
      </c>
      <c r="R85" s="169">
        <v>44816</v>
      </c>
      <c r="S85" s="169">
        <v>44817</v>
      </c>
      <c r="T85" s="169">
        <v>44818</v>
      </c>
      <c r="U85" s="169">
        <v>44819</v>
      </c>
      <c r="V85" s="169">
        <v>44820</v>
      </c>
      <c r="W85" s="169">
        <v>44821</v>
      </c>
      <c r="X85" s="169">
        <v>44822</v>
      </c>
      <c r="Y85" s="166" t="s">
        <v>9</v>
      </c>
      <c r="Z85" s="169">
        <v>44823</v>
      </c>
      <c r="AA85" s="169">
        <v>44824</v>
      </c>
      <c r="AB85" s="169">
        <v>44825</v>
      </c>
      <c r="AC85" s="169">
        <v>44826</v>
      </c>
      <c r="AD85" s="169">
        <v>44827</v>
      </c>
      <c r="AE85" s="169">
        <v>44828</v>
      </c>
      <c r="AF85" s="169">
        <v>44829</v>
      </c>
      <c r="AG85" s="166" t="s">
        <v>9</v>
      </c>
      <c r="AH85" s="169">
        <v>44830</v>
      </c>
      <c r="AI85" s="169">
        <v>44831</v>
      </c>
      <c r="AJ85" s="169">
        <v>44832</v>
      </c>
      <c r="AK85" s="169">
        <v>44833</v>
      </c>
      <c r="AL85" s="169"/>
      <c r="AM85" s="169"/>
      <c r="AN85" s="169"/>
      <c r="AO85" s="221"/>
      <c r="AP85" s="166" t="s">
        <v>9</v>
      </c>
      <c r="AQ85" s="191" t="s">
        <v>10</v>
      </c>
      <c r="AV85" s="47"/>
      <c r="AW85" s="47"/>
      <c r="AX85" s="47"/>
      <c r="AY85" s="47"/>
      <c r="AZ85" s="47"/>
    </row>
    <row r="86" spans="1:52">
      <c r="A86" s="183" t="s">
        <v>11</v>
      </c>
      <c r="B86" s="172"/>
      <c r="C86" s="173"/>
      <c r="D86" s="173"/>
      <c r="E86" s="173">
        <v>132450</v>
      </c>
      <c r="F86" s="173">
        <v>126181</v>
      </c>
      <c r="G86" s="173">
        <v>126670</v>
      </c>
      <c r="H86" s="173">
        <v>78745</v>
      </c>
      <c r="I86" s="185">
        <f>SUM(B86:H86)</f>
        <v>464046</v>
      </c>
      <c r="J86" s="173">
        <v>117045</v>
      </c>
      <c r="K86" s="173">
        <v>139807</v>
      </c>
      <c r="L86" s="173">
        <v>151543</v>
      </c>
      <c r="M86" s="173">
        <v>152616</v>
      </c>
      <c r="N86" s="173">
        <v>134773</v>
      </c>
      <c r="O86" s="173">
        <v>75516</v>
      </c>
      <c r="P86" s="173"/>
      <c r="Q86" s="185">
        <f>SUM(J86:P86)</f>
        <v>771300</v>
      </c>
      <c r="R86" s="173">
        <v>0</v>
      </c>
      <c r="S86" s="173"/>
      <c r="T86" s="173"/>
      <c r="U86" s="173"/>
      <c r="V86" s="173"/>
      <c r="W86" s="173"/>
      <c r="X86" s="173"/>
      <c r="Y86" s="185">
        <f>SUM(R86:X86)</f>
        <v>0</v>
      </c>
      <c r="Z86" s="173"/>
      <c r="AA86" s="173"/>
      <c r="AB86" s="173"/>
      <c r="AC86" s="173"/>
      <c r="AD86" s="173"/>
      <c r="AE86" s="173"/>
      <c r="AF86" s="173"/>
      <c r="AG86" s="185">
        <f>SUM(Z86:AF86)</f>
        <v>0</v>
      </c>
      <c r="AH86" s="173"/>
      <c r="AI86" s="173"/>
      <c r="AJ86" s="173"/>
      <c r="AK86" s="173"/>
      <c r="AL86" s="173"/>
      <c r="AM86" s="173"/>
      <c r="AN86" s="173"/>
      <c r="AO86" s="222"/>
      <c r="AP86" s="185">
        <f>AH86+AI86+AJ86+AK86</f>
        <v>0</v>
      </c>
      <c r="AQ86" s="192">
        <f>I86+Q86+Y86+AG86+AP86</f>
        <v>1235346</v>
      </c>
      <c r="AR86" s="47"/>
      <c r="AS86" s="47"/>
      <c r="AT86" s="47"/>
      <c r="AV86" s="47"/>
      <c r="AW86" s="47"/>
      <c r="AX86" s="47"/>
      <c r="AY86" s="47"/>
      <c r="AZ86" s="47"/>
    </row>
    <row r="87" spans="1:52">
      <c r="A87" s="183" t="s">
        <v>178</v>
      </c>
      <c r="B87" s="172"/>
      <c r="C87" s="173"/>
      <c r="D87" s="173"/>
      <c r="E87" s="173">
        <v>12860</v>
      </c>
      <c r="F87" s="173">
        <v>7396</v>
      </c>
      <c r="G87" s="173">
        <v>9140</v>
      </c>
      <c r="H87" s="173">
        <v>6210</v>
      </c>
      <c r="I87" s="185">
        <f>SUM(B87:H87)</f>
        <v>35606</v>
      </c>
      <c r="J87" s="173">
        <v>8370</v>
      </c>
      <c r="K87" s="173">
        <v>9916</v>
      </c>
      <c r="L87" s="173">
        <v>12430</v>
      </c>
      <c r="M87" s="173">
        <v>14328</v>
      </c>
      <c r="N87" s="173">
        <v>9623</v>
      </c>
      <c r="O87" s="173">
        <v>8450</v>
      </c>
      <c r="P87" s="173"/>
      <c r="Q87" s="185">
        <f>SUM(J87:P87)</f>
        <v>63117</v>
      </c>
      <c r="R87" s="173"/>
      <c r="S87" s="173"/>
      <c r="T87" s="173"/>
      <c r="U87" s="173"/>
      <c r="V87" s="173"/>
      <c r="W87" s="173"/>
      <c r="X87" s="173"/>
      <c r="Y87" s="185">
        <f>SUM(R87:X87)</f>
        <v>0</v>
      </c>
      <c r="Z87" s="173"/>
      <c r="AA87" s="173"/>
      <c r="AB87" s="173"/>
      <c r="AC87" s="173"/>
      <c r="AD87" s="173"/>
      <c r="AE87" s="173"/>
      <c r="AF87" s="173"/>
      <c r="AG87" s="185">
        <f>SUM(Z87:AF87)</f>
        <v>0</v>
      </c>
      <c r="AH87" s="173"/>
      <c r="AI87" s="173"/>
      <c r="AJ87" s="173"/>
      <c r="AK87" s="173"/>
      <c r="AL87" s="173"/>
      <c r="AM87" s="173"/>
      <c r="AN87" s="173"/>
      <c r="AO87" s="222"/>
      <c r="AP87" s="185">
        <f>AH87+AI87+AJ87+AK87</f>
        <v>0</v>
      </c>
      <c r="AQ87" s="192">
        <f>I87+Q87+Y87+AG87+AP87</f>
        <v>98723</v>
      </c>
      <c r="AR87" s="317">
        <f>AQ86+AQ87</f>
        <v>1334069</v>
      </c>
      <c r="AS87" s="47"/>
      <c r="AT87" s="47"/>
      <c r="AV87" s="47"/>
      <c r="AW87" s="47"/>
      <c r="AX87" s="47"/>
      <c r="AY87" s="47"/>
      <c r="AZ87" s="47"/>
    </row>
    <row r="88" spans="1:52">
      <c r="A88" s="183" t="s">
        <v>13</v>
      </c>
      <c r="B88" s="173">
        <f>B91+B92</f>
        <v>0</v>
      </c>
      <c r="C88" s="173">
        <f t="shared" ref="C88" si="89">C91+C92</f>
        <v>0</v>
      </c>
      <c r="D88" s="173"/>
      <c r="E88" s="173">
        <f>SUM(E91:E92)</f>
        <v>36649</v>
      </c>
      <c r="F88" s="173">
        <f>SUM(F91:F92)</f>
        <v>46953</v>
      </c>
      <c r="G88" s="173">
        <f>SUM(G91:G92)</f>
        <v>39767</v>
      </c>
      <c r="H88" s="173">
        <f>SUM(H91:H92)</f>
        <v>0</v>
      </c>
      <c r="I88" s="185">
        <f>SUM(B88:H88)</f>
        <v>123369</v>
      </c>
      <c r="J88" s="173">
        <f t="shared" ref="J88:O88" si="90">SUM(J91:J92)</f>
        <v>34051</v>
      </c>
      <c r="K88" s="173">
        <f t="shared" si="90"/>
        <v>38094</v>
      </c>
      <c r="L88" s="173">
        <f t="shared" si="90"/>
        <v>58595</v>
      </c>
      <c r="M88" s="173">
        <f t="shared" si="90"/>
        <v>64657</v>
      </c>
      <c r="N88" s="173">
        <f t="shared" si="90"/>
        <v>54864</v>
      </c>
      <c r="O88" s="173">
        <f t="shared" si="90"/>
        <v>30650</v>
      </c>
      <c r="P88" s="173">
        <f t="shared" ref="P88" si="91">SUM(P91:P92)</f>
        <v>0</v>
      </c>
      <c r="Q88" s="185">
        <f>SUM(J88:P88)</f>
        <v>280911</v>
      </c>
      <c r="R88" s="173"/>
      <c r="S88" s="173"/>
      <c r="T88" s="173"/>
      <c r="U88" s="173"/>
      <c r="V88" s="173"/>
      <c r="W88" s="173"/>
      <c r="X88" s="173"/>
      <c r="Y88" s="185">
        <f>SUM(R88:X88)</f>
        <v>0</v>
      </c>
      <c r="Z88" s="173"/>
      <c r="AA88" s="173"/>
      <c r="AB88" s="173"/>
      <c r="AC88" s="173"/>
      <c r="AD88" s="173"/>
      <c r="AE88" s="173"/>
      <c r="AF88" s="173"/>
      <c r="AG88" s="185">
        <f>SUM(Z88:AF88)</f>
        <v>0</v>
      </c>
      <c r="AH88" s="173"/>
      <c r="AI88" s="173"/>
      <c r="AJ88" s="173"/>
      <c r="AK88" s="173"/>
      <c r="AL88" s="173"/>
      <c r="AM88" s="173"/>
      <c r="AN88" s="173"/>
      <c r="AO88" s="222"/>
      <c r="AP88" s="185">
        <f>AH88+AI88+AJ88+AK88</f>
        <v>0</v>
      </c>
      <c r="AQ88" s="192">
        <f>I88+Q88+Y88+AG88+AP88</f>
        <v>404280</v>
      </c>
      <c r="AR88" s="47" t="s">
        <v>14</v>
      </c>
      <c r="AS88" s="47"/>
      <c r="AT88" s="47"/>
      <c r="AV88" s="47"/>
      <c r="AW88" s="47"/>
      <c r="AX88" s="47"/>
      <c r="AY88" s="47"/>
      <c r="AZ88" s="47"/>
    </row>
    <row r="89" spans="1:52" ht="15.75" thickBot="1">
      <c r="A89" s="183" t="s">
        <v>15</v>
      </c>
      <c r="B89" s="177" t="e">
        <f t="shared" ref="B89:I89" si="92">B88/B86</f>
        <v>#DIV/0!</v>
      </c>
      <c r="C89" s="177" t="e">
        <f t="shared" si="92"/>
        <v>#DIV/0!</v>
      </c>
      <c r="D89" s="177" t="e">
        <f t="shared" si="92"/>
        <v>#DIV/0!</v>
      </c>
      <c r="E89" s="177">
        <f t="shared" si="92"/>
        <v>0.27670064175160436</v>
      </c>
      <c r="F89" s="177">
        <f t="shared" si="92"/>
        <v>0.37210832058709314</v>
      </c>
      <c r="G89" s="177">
        <f t="shared" si="92"/>
        <v>0.31394173837530592</v>
      </c>
      <c r="H89" s="177">
        <f t="shared" si="92"/>
        <v>0</v>
      </c>
      <c r="I89" s="176">
        <f t="shared" si="92"/>
        <v>0.26585510919176114</v>
      </c>
      <c r="J89" s="177">
        <f t="shared" ref="J89:R89" si="93">J88/J86</f>
        <v>0.29092229484386345</v>
      </c>
      <c r="K89" s="177">
        <f t="shared" si="93"/>
        <v>0.27247562711452217</v>
      </c>
      <c r="L89" s="177">
        <f t="shared" si="93"/>
        <v>0.38665593263958087</v>
      </c>
      <c r="M89" s="177">
        <f t="shared" si="93"/>
        <v>0.42365806992713739</v>
      </c>
      <c r="N89" s="177">
        <f t="shared" si="93"/>
        <v>0.40708450505665084</v>
      </c>
      <c r="O89" s="177">
        <f t="shared" si="93"/>
        <v>0.40587425181418507</v>
      </c>
      <c r="P89" s="177" t="e">
        <f t="shared" si="93"/>
        <v>#DIV/0!</v>
      </c>
      <c r="Q89" s="176">
        <f t="shared" si="93"/>
        <v>0.36420458965383118</v>
      </c>
      <c r="R89" s="177" t="e">
        <f t="shared" si="93"/>
        <v>#DIV/0!</v>
      </c>
      <c r="S89" s="177" t="e">
        <f t="shared" ref="S89:Y89" si="94">S88/S86</f>
        <v>#DIV/0!</v>
      </c>
      <c r="T89" s="177" t="e">
        <f t="shared" si="94"/>
        <v>#DIV/0!</v>
      </c>
      <c r="U89" s="177" t="e">
        <f t="shared" si="94"/>
        <v>#DIV/0!</v>
      </c>
      <c r="V89" s="177" t="e">
        <f t="shared" si="94"/>
        <v>#DIV/0!</v>
      </c>
      <c r="W89" s="177" t="e">
        <f t="shared" si="94"/>
        <v>#DIV/0!</v>
      </c>
      <c r="X89" s="177" t="e">
        <f t="shared" si="94"/>
        <v>#DIV/0!</v>
      </c>
      <c r="Y89" s="176" t="e">
        <f t="shared" si="94"/>
        <v>#DIV/0!</v>
      </c>
      <c r="Z89" s="177" t="e">
        <f t="shared" ref="Z89:AG89" si="95">Z88/Z86</f>
        <v>#DIV/0!</v>
      </c>
      <c r="AA89" s="177" t="e">
        <f t="shared" si="95"/>
        <v>#DIV/0!</v>
      </c>
      <c r="AB89" s="177" t="e">
        <f t="shared" si="95"/>
        <v>#DIV/0!</v>
      </c>
      <c r="AC89" s="177" t="e">
        <f t="shared" si="95"/>
        <v>#DIV/0!</v>
      </c>
      <c r="AD89" s="177" t="e">
        <f t="shared" si="95"/>
        <v>#DIV/0!</v>
      </c>
      <c r="AE89" s="177" t="e">
        <f t="shared" si="95"/>
        <v>#DIV/0!</v>
      </c>
      <c r="AF89" s="177" t="e">
        <f t="shared" si="95"/>
        <v>#DIV/0!</v>
      </c>
      <c r="AG89" s="176" t="e">
        <f t="shared" si="95"/>
        <v>#DIV/0!</v>
      </c>
      <c r="AH89" s="177" t="e">
        <f t="shared" ref="AH89:AN89" si="96">AH88/AH86</f>
        <v>#DIV/0!</v>
      </c>
      <c r="AI89" s="177" t="e">
        <f t="shared" si="96"/>
        <v>#DIV/0!</v>
      </c>
      <c r="AJ89" s="177" t="e">
        <f t="shared" si="96"/>
        <v>#DIV/0!</v>
      </c>
      <c r="AK89" s="177" t="e">
        <f t="shared" si="96"/>
        <v>#DIV/0!</v>
      </c>
      <c r="AL89" s="177" t="e">
        <f t="shared" si="96"/>
        <v>#DIV/0!</v>
      </c>
      <c r="AM89" s="177" t="e">
        <f t="shared" si="96"/>
        <v>#DIV/0!</v>
      </c>
      <c r="AN89" s="177" t="e">
        <f t="shared" si="96"/>
        <v>#DIV/0!</v>
      </c>
      <c r="AO89" s="224"/>
      <c r="AP89" s="176" t="e">
        <f>AP88/AP86</f>
        <v>#DIV/0!</v>
      </c>
      <c r="AQ89" s="316">
        <f>AQ88/(AQ86+AQ87)</f>
        <v>0.30304279613723129</v>
      </c>
      <c r="AR89" s="47"/>
      <c r="AS89" s="47"/>
      <c r="AT89" s="47"/>
      <c r="AV89" s="47"/>
      <c r="AW89" s="47"/>
      <c r="AX89" s="47"/>
      <c r="AY89" s="47"/>
      <c r="AZ89" s="47"/>
    </row>
    <row r="90" spans="1:52">
      <c r="A90" s="151"/>
      <c r="B90" s="178"/>
      <c r="C90" s="178"/>
      <c r="D90" s="178"/>
      <c r="E90" s="178"/>
      <c r="F90" s="178"/>
      <c r="G90" s="186"/>
      <c r="H90" s="178"/>
      <c r="I90" s="151"/>
      <c r="J90" s="178"/>
      <c r="K90" s="178"/>
      <c r="L90" s="178"/>
      <c r="M90" s="178"/>
      <c r="N90" s="178"/>
      <c r="O90" s="178"/>
      <c r="P90" s="188"/>
      <c r="Q90" s="151"/>
      <c r="R90" s="189"/>
      <c r="S90" s="189"/>
      <c r="T90" s="189"/>
      <c r="U90" s="189"/>
      <c r="V90" s="189"/>
      <c r="W90" s="189"/>
      <c r="X90" s="189"/>
      <c r="Y90" s="151"/>
      <c r="Z90" s="188"/>
      <c r="AA90" s="178"/>
      <c r="AB90" s="178"/>
      <c r="AC90" s="178"/>
      <c r="AD90" s="178"/>
      <c r="AE90" s="178"/>
      <c r="AF90" s="178"/>
      <c r="AG90" s="151"/>
      <c r="AH90" s="178"/>
      <c r="AI90" s="188"/>
      <c r="AJ90" s="189"/>
      <c r="AK90" s="189"/>
      <c r="AL90" s="189"/>
      <c r="AM90" s="189"/>
      <c r="AN90" s="189"/>
      <c r="AO90" s="189"/>
      <c r="AP90" s="151"/>
      <c r="AQ90" s="47"/>
      <c r="AR90" s="47"/>
      <c r="AS90" s="47"/>
      <c r="AU90" s="47"/>
      <c r="AV90" s="47"/>
      <c r="AW90" s="47"/>
      <c r="AX90" s="47"/>
      <c r="AY90" s="47"/>
    </row>
    <row r="91" spans="1:52" s="121" customFormat="1">
      <c r="A91" s="179" t="s">
        <v>16</v>
      </c>
      <c r="B91" s="180"/>
      <c r="C91" s="180"/>
      <c r="D91" s="180"/>
      <c r="E91" s="180">
        <v>14200</v>
      </c>
      <c r="F91" s="180">
        <v>23390</v>
      </c>
      <c r="G91" s="180">
        <v>15870</v>
      </c>
      <c r="H91" s="180">
        <v>0</v>
      </c>
      <c r="I91" s="179"/>
      <c r="J91" s="180">
        <v>10920</v>
      </c>
      <c r="K91" s="180">
        <v>7930</v>
      </c>
      <c r="L91" s="180">
        <v>7630</v>
      </c>
      <c r="M91" s="180">
        <v>13213</v>
      </c>
      <c r="N91" s="180">
        <v>3952</v>
      </c>
      <c r="O91" s="180">
        <v>4541</v>
      </c>
      <c r="P91" s="180">
        <v>0</v>
      </c>
      <c r="Q91" s="179"/>
      <c r="R91" s="180">
        <v>4090</v>
      </c>
      <c r="S91" s="180">
        <v>4230</v>
      </c>
      <c r="T91" s="180">
        <v>8047</v>
      </c>
      <c r="U91" s="180">
        <v>5925</v>
      </c>
      <c r="V91" s="180"/>
      <c r="W91" s="180"/>
      <c r="X91" s="180"/>
      <c r="Y91" s="179"/>
      <c r="Z91" s="187"/>
      <c r="AA91" s="180"/>
      <c r="AB91" s="180"/>
      <c r="AC91" s="180"/>
      <c r="AD91" s="180"/>
      <c r="AE91" s="180"/>
      <c r="AF91" s="180"/>
      <c r="AG91" s="179"/>
      <c r="AH91" s="180"/>
      <c r="AI91" s="187"/>
      <c r="AJ91" s="180"/>
      <c r="AK91" s="180"/>
      <c r="AL91" s="180"/>
      <c r="AM91" s="180"/>
      <c r="AN91" s="180"/>
      <c r="AO91" s="180">
        <f>SUM(E91:AK91)</f>
        <v>123938</v>
      </c>
      <c r="AP91" s="194" t="s">
        <v>16</v>
      </c>
      <c r="AR91" s="196"/>
      <c r="AS91" s="196"/>
      <c r="AU91" s="196"/>
      <c r="AV91" s="196"/>
      <c r="AW91" s="196"/>
      <c r="AX91" s="196"/>
      <c r="AY91" s="196"/>
    </row>
    <row r="92" spans="1:52" s="121" customFormat="1">
      <c r="A92" s="181" t="s">
        <v>17</v>
      </c>
      <c r="B92" s="160"/>
      <c r="C92" s="182"/>
      <c r="D92" s="160"/>
      <c r="E92" s="160">
        <v>22449</v>
      </c>
      <c r="F92" s="182">
        <v>23563</v>
      </c>
      <c r="G92" s="182">
        <v>23897</v>
      </c>
      <c r="H92" s="182">
        <v>0</v>
      </c>
      <c r="I92" s="181"/>
      <c r="J92" s="182">
        <v>23131</v>
      </c>
      <c r="K92" s="182">
        <v>30164</v>
      </c>
      <c r="L92" s="160">
        <v>50965</v>
      </c>
      <c r="M92" s="160">
        <v>51444</v>
      </c>
      <c r="N92" s="182">
        <v>50912</v>
      </c>
      <c r="O92" s="182">
        <v>26109</v>
      </c>
      <c r="P92" s="160">
        <v>0</v>
      </c>
      <c r="Q92" s="181"/>
      <c r="R92" s="160">
        <v>51102</v>
      </c>
      <c r="S92" s="160">
        <v>25924</v>
      </c>
      <c r="T92" s="160">
        <v>26006</v>
      </c>
      <c r="U92" s="160">
        <v>26127</v>
      </c>
      <c r="V92" s="160"/>
      <c r="W92" s="160"/>
      <c r="X92" s="160"/>
      <c r="Y92" s="181"/>
      <c r="Z92" s="160"/>
      <c r="AA92" s="160"/>
      <c r="AB92" s="160"/>
      <c r="AC92" s="160"/>
      <c r="AD92" s="160"/>
      <c r="AE92" s="160"/>
      <c r="AF92" s="160"/>
      <c r="AG92" s="181"/>
      <c r="AH92" s="160"/>
      <c r="AI92" s="160"/>
      <c r="AJ92" s="160"/>
      <c r="AK92" s="160"/>
      <c r="AL92" s="190"/>
      <c r="AM92" s="160"/>
      <c r="AN92" s="160"/>
      <c r="AO92" s="160">
        <f>SUM(E92:AK92)</f>
        <v>431793</v>
      </c>
      <c r="AP92" s="195" t="s">
        <v>17</v>
      </c>
      <c r="AQ92" s="196"/>
      <c r="AR92" s="196"/>
      <c r="AS92" s="196"/>
      <c r="AT92" s="196"/>
    </row>
    <row r="93" spans="1:52" s="121" customFormat="1">
      <c r="A93" s="319" t="s">
        <v>174</v>
      </c>
      <c r="B93" s="160"/>
      <c r="C93" s="182"/>
      <c r="D93" s="160"/>
      <c r="E93" s="160"/>
      <c r="F93" s="182"/>
      <c r="G93" s="182">
        <v>5680</v>
      </c>
      <c r="H93" s="182"/>
      <c r="I93" s="181"/>
      <c r="J93" s="182"/>
      <c r="K93" s="182"/>
      <c r="L93" s="160"/>
      <c r="M93" s="160"/>
      <c r="N93" s="182">
        <v>2450</v>
      </c>
      <c r="O93" s="182"/>
      <c r="P93" s="160"/>
      <c r="Q93" s="181"/>
      <c r="R93" s="160"/>
      <c r="S93" s="160">
        <v>3610</v>
      </c>
      <c r="T93" s="160"/>
      <c r="U93" s="160"/>
      <c r="V93" s="160"/>
      <c r="W93" s="160"/>
      <c r="X93" s="160"/>
      <c r="Y93" s="181"/>
      <c r="Z93" s="160"/>
      <c r="AA93" s="160"/>
      <c r="AB93" s="160"/>
      <c r="AC93" s="160"/>
      <c r="AD93" s="160"/>
      <c r="AE93" s="160"/>
      <c r="AF93" s="160"/>
      <c r="AG93" s="181"/>
      <c r="AH93" s="160"/>
      <c r="AI93" s="160"/>
      <c r="AJ93" s="160"/>
      <c r="AK93" s="160"/>
      <c r="AL93" s="190"/>
      <c r="AM93" s="160"/>
      <c r="AN93" s="160"/>
      <c r="AO93" s="160">
        <f>SUM(E93:AK93)</f>
        <v>11740</v>
      </c>
      <c r="AP93" s="195" t="s">
        <v>171</v>
      </c>
      <c r="AQ93" s="196"/>
      <c r="AR93" s="196"/>
      <c r="AS93" s="196"/>
      <c r="AT93" s="196"/>
    </row>
    <row r="94" spans="1:52" ht="15.75" thickBot="1">
      <c r="A94" s="151" t="s">
        <v>27</v>
      </c>
      <c r="B94" s="163" t="s">
        <v>3</v>
      </c>
      <c r="C94" s="163" t="s">
        <v>4</v>
      </c>
      <c r="D94" s="163" t="s">
        <v>4</v>
      </c>
      <c r="E94" s="163" t="s">
        <v>5</v>
      </c>
      <c r="F94" s="163" t="s">
        <v>6</v>
      </c>
      <c r="G94" s="163" t="s">
        <v>7</v>
      </c>
      <c r="H94" s="163" t="s">
        <v>2</v>
      </c>
      <c r="I94" s="163"/>
      <c r="J94" s="163" t="s">
        <v>3</v>
      </c>
      <c r="K94" s="163" t="s">
        <v>4</v>
      </c>
      <c r="L94" s="163" t="s">
        <v>4</v>
      </c>
      <c r="M94" s="163" t="s">
        <v>5</v>
      </c>
      <c r="N94" s="163" t="s">
        <v>6</v>
      </c>
      <c r="O94" s="163" t="s">
        <v>7</v>
      </c>
      <c r="P94" s="163" t="s">
        <v>2</v>
      </c>
      <c r="Q94" s="163"/>
      <c r="R94" s="163" t="s">
        <v>3</v>
      </c>
      <c r="S94" s="163" t="s">
        <v>4</v>
      </c>
      <c r="T94" s="163" t="s">
        <v>4</v>
      </c>
      <c r="U94" s="163" t="s">
        <v>5</v>
      </c>
      <c r="V94" s="163" t="s">
        <v>6</v>
      </c>
      <c r="W94" s="163" t="s">
        <v>7</v>
      </c>
      <c r="X94" s="163" t="s">
        <v>2</v>
      </c>
      <c r="Y94" s="163"/>
      <c r="Z94" s="163" t="s">
        <v>3</v>
      </c>
      <c r="AA94" s="163" t="s">
        <v>4</v>
      </c>
      <c r="AB94" s="163" t="s">
        <v>4</v>
      </c>
      <c r="AC94" s="163" t="s">
        <v>5</v>
      </c>
      <c r="AD94" s="163" t="s">
        <v>6</v>
      </c>
      <c r="AE94" s="163" t="s">
        <v>7</v>
      </c>
      <c r="AF94" s="163" t="s">
        <v>2</v>
      </c>
      <c r="AG94" s="163"/>
      <c r="AH94" s="163" t="s">
        <v>3</v>
      </c>
      <c r="AI94" s="163" t="s">
        <v>4</v>
      </c>
      <c r="AJ94" s="163" t="s">
        <v>4</v>
      </c>
      <c r="AK94" s="163" t="s">
        <v>5</v>
      </c>
      <c r="AL94" s="163" t="s">
        <v>6</v>
      </c>
      <c r="AM94" s="163" t="s">
        <v>7</v>
      </c>
      <c r="AN94" s="163" t="s">
        <v>2</v>
      </c>
      <c r="AO94" s="298" t="s">
        <v>3</v>
      </c>
      <c r="AP94" s="151"/>
      <c r="AQ94" s="47"/>
      <c r="AR94" s="47"/>
      <c r="AS94" s="47"/>
    </row>
    <row r="95" spans="1:52" ht="15.75" thickBot="1">
      <c r="A95" s="183" t="s">
        <v>8</v>
      </c>
      <c r="B95" s="168"/>
      <c r="C95" s="168"/>
      <c r="D95" s="168"/>
      <c r="E95" s="168"/>
      <c r="F95" s="169"/>
      <c r="G95" s="169">
        <v>44835</v>
      </c>
      <c r="H95" s="169">
        <v>44836</v>
      </c>
      <c r="I95" s="166" t="s">
        <v>9</v>
      </c>
      <c r="J95" s="169">
        <v>44837</v>
      </c>
      <c r="K95" s="169">
        <v>44838</v>
      </c>
      <c r="L95" s="169">
        <v>44839</v>
      </c>
      <c r="M95" s="169">
        <v>44840</v>
      </c>
      <c r="N95" s="169">
        <v>44841</v>
      </c>
      <c r="O95" s="169">
        <v>44842</v>
      </c>
      <c r="P95" s="169">
        <v>44843</v>
      </c>
      <c r="Q95" s="166" t="s">
        <v>9</v>
      </c>
      <c r="R95" s="169">
        <v>44844</v>
      </c>
      <c r="S95" s="169">
        <v>44845</v>
      </c>
      <c r="T95" s="169">
        <v>44846</v>
      </c>
      <c r="U95" s="169">
        <v>44847</v>
      </c>
      <c r="V95" s="169">
        <v>44848</v>
      </c>
      <c r="W95" s="169">
        <v>44849</v>
      </c>
      <c r="X95" s="169">
        <v>44850</v>
      </c>
      <c r="Y95" s="166" t="s">
        <v>9</v>
      </c>
      <c r="Z95" s="169">
        <v>44851</v>
      </c>
      <c r="AA95" s="169">
        <v>44852</v>
      </c>
      <c r="AB95" s="169">
        <v>44853</v>
      </c>
      <c r="AC95" s="169">
        <v>44854</v>
      </c>
      <c r="AD95" s="169">
        <v>44855</v>
      </c>
      <c r="AE95" s="169">
        <v>44856</v>
      </c>
      <c r="AF95" s="169">
        <v>44857</v>
      </c>
      <c r="AG95" s="166" t="s">
        <v>9</v>
      </c>
      <c r="AH95" s="169">
        <v>44858</v>
      </c>
      <c r="AI95" s="169">
        <v>44859</v>
      </c>
      <c r="AJ95" s="169">
        <v>44860</v>
      </c>
      <c r="AK95" s="169">
        <v>44861</v>
      </c>
      <c r="AL95" s="169">
        <v>44862</v>
      </c>
      <c r="AM95" s="169">
        <v>44863</v>
      </c>
      <c r="AN95" s="169">
        <v>44864</v>
      </c>
      <c r="AO95" s="169">
        <v>44865</v>
      </c>
      <c r="AP95" s="221"/>
      <c r="AQ95" s="166" t="s">
        <v>9</v>
      </c>
      <c r="AR95" s="191" t="s">
        <v>10</v>
      </c>
      <c r="AV95" s="47"/>
      <c r="AW95" s="47"/>
      <c r="AX95" s="47"/>
      <c r="AY95" s="47"/>
      <c r="AZ95" s="47"/>
    </row>
    <row r="96" spans="1:52">
      <c r="A96" s="183" t="s">
        <v>11</v>
      </c>
      <c r="B96" s="172"/>
      <c r="C96" s="173"/>
      <c r="D96" s="173"/>
      <c r="E96" s="173"/>
      <c r="F96" s="173"/>
      <c r="G96" s="173"/>
      <c r="H96" s="173"/>
      <c r="I96" s="185">
        <f>SUM(B96:H96)</f>
        <v>0</v>
      </c>
      <c r="J96" s="173"/>
      <c r="K96" s="173"/>
      <c r="L96" s="173"/>
      <c r="M96" s="173"/>
      <c r="N96" s="173"/>
      <c r="O96" s="173"/>
      <c r="P96" s="173"/>
      <c r="Q96" s="185">
        <f>SUM(J96:P96)</f>
        <v>0</v>
      </c>
      <c r="R96" s="173"/>
      <c r="S96" s="173"/>
      <c r="T96" s="173"/>
      <c r="U96" s="173"/>
      <c r="V96" s="173"/>
      <c r="W96" s="173"/>
      <c r="X96" s="173"/>
      <c r="Y96" s="185">
        <f>SUM(R96:X96)</f>
        <v>0</v>
      </c>
      <c r="Z96" s="173"/>
      <c r="AA96" s="173"/>
      <c r="AB96" s="173"/>
      <c r="AC96" s="173"/>
      <c r="AD96" s="173"/>
      <c r="AE96" s="173"/>
      <c r="AF96" s="173"/>
      <c r="AG96" s="185">
        <f>SUM(Z96:AF96)</f>
        <v>0</v>
      </c>
      <c r="AH96" s="173"/>
      <c r="AI96" s="173"/>
      <c r="AJ96" s="173"/>
      <c r="AK96" s="173"/>
      <c r="AL96" s="173"/>
      <c r="AM96" s="173"/>
      <c r="AN96" s="173"/>
      <c r="AO96" s="173"/>
      <c r="AP96" s="222"/>
      <c r="AQ96" s="185">
        <f>AH96+AI96+AJ96+AK96+AL96+AM96+AN96</f>
        <v>0</v>
      </c>
      <c r="AR96" s="192">
        <f>I96+Q96+Y96+AG96+AQ96</f>
        <v>0</v>
      </c>
      <c r="AS96" s="47"/>
      <c r="AT96" s="47"/>
      <c r="AV96" s="47"/>
      <c r="AW96" s="47"/>
      <c r="AX96" s="47"/>
      <c r="AY96" s="47"/>
      <c r="AZ96" s="47"/>
    </row>
    <row r="97" spans="1:52">
      <c r="A97" s="183" t="s">
        <v>178</v>
      </c>
      <c r="B97" s="172"/>
      <c r="C97" s="173"/>
      <c r="D97" s="173"/>
      <c r="E97" s="173"/>
      <c r="F97" s="173"/>
      <c r="G97" s="173"/>
      <c r="H97" s="173"/>
      <c r="I97" s="185">
        <f>SUM(B97:H97)</f>
        <v>0</v>
      </c>
      <c r="J97" s="173"/>
      <c r="K97" s="173"/>
      <c r="L97" s="173"/>
      <c r="M97" s="173"/>
      <c r="N97" s="173"/>
      <c r="O97" s="173"/>
      <c r="P97" s="173"/>
      <c r="Q97" s="185">
        <f>SUM(J97:P97)</f>
        <v>0</v>
      </c>
      <c r="R97" s="173"/>
      <c r="S97" s="173"/>
      <c r="T97" s="173"/>
      <c r="U97" s="173"/>
      <c r="V97" s="173"/>
      <c r="W97" s="173"/>
      <c r="X97" s="173"/>
      <c r="Y97" s="185">
        <f>SUM(R97:X97)</f>
        <v>0</v>
      </c>
      <c r="Z97" s="173"/>
      <c r="AA97" s="173"/>
      <c r="AB97" s="173"/>
      <c r="AC97" s="173"/>
      <c r="AD97" s="173"/>
      <c r="AE97" s="173"/>
      <c r="AF97" s="173"/>
      <c r="AG97" s="185">
        <f>SUM(Z97:AF97)</f>
        <v>0</v>
      </c>
      <c r="AH97" s="173"/>
      <c r="AI97" s="173"/>
      <c r="AJ97" s="173"/>
      <c r="AK97" s="173"/>
      <c r="AL97" s="173"/>
      <c r="AM97" s="173"/>
      <c r="AN97" s="173"/>
      <c r="AO97" s="173"/>
      <c r="AP97" s="222"/>
      <c r="AQ97" s="171">
        <f>SUM(AN97)</f>
        <v>0</v>
      </c>
      <c r="AR97" s="192" t="e">
        <f>SUM(Y97,Q97,I97,#REF!,AG97,AQ97)</f>
        <v>#REF!</v>
      </c>
      <c r="AS97" s="47"/>
      <c r="AT97" s="47"/>
      <c r="AV97" s="47"/>
      <c r="AW97" s="47"/>
      <c r="AX97" s="47"/>
      <c r="AY97" s="47"/>
      <c r="AZ97" s="47"/>
    </row>
    <row r="98" spans="1:52">
      <c r="A98" s="183" t="s">
        <v>13</v>
      </c>
      <c r="B98" s="173"/>
      <c r="C98" s="173"/>
      <c r="D98" s="173"/>
      <c r="E98" s="173"/>
      <c r="F98" s="173"/>
      <c r="G98" s="173"/>
      <c r="H98" s="173"/>
      <c r="I98" s="185">
        <f>SUM(B98:H98)</f>
        <v>0</v>
      </c>
      <c r="J98" s="173"/>
      <c r="K98" s="173"/>
      <c r="L98" s="173"/>
      <c r="M98" s="173"/>
      <c r="N98" s="173"/>
      <c r="O98" s="173"/>
      <c r="P98" s="173"/>
      <c r="Q98" s="185">
        <f>SUM(J98:P98)</f>
        <v>0</v>
      </c>
      <c r="R98" s="173"/>
      <c r="S98" s="173"/>
      <c r="T98" s="173"/>
      <c r="U98" s="173"/>
      <c r="V98" s="173"/>
      <c r="W98" s="173"/>
      <c r="X98" s="173"/>
      <c r="Y98" s="185">
        <f>SUM(R98:X98)</f>
        <v>0</v>
      </c>
      <c r="Z98" s="173"/>
      <c r="AA98" s="173"/>
      <c r="AB98" s="173"/>
      <c r="AC98" s="173"/>
      <c r="AD98" s="173"/>
      <c r="AE98" s="173"/>
      <c r="AF98" s="173"/>
      <c r="AG98" s="185">
        <f>SUM(Z98:AF98)</f>
        <v>0</v>
      </c>
      <c r="AH98" s="173"/>
      <c r="AI98" s="173"/>
      <c r="AJ98" s="173"/>
      <c r="AK98" s="173"/>
      <c r="AL98" s="173"/>
      <c r="AM98" s="173"/>
      <c r="AN98" s="173"/>
      <c r="AO98" s="173"/>
      <c r="AP98" s="222"/>
      <c r="AQ98" s="185">
        <f>AH98+AI98+AJ98+AK98+AL98+AM98+AN98</f>
        <v>0</v>
      </c>
      <c r="AR98" s="192" t="e">
        <f>SUM(Y98,Q98,I98,#REF!,AG98,AQ98+AQ98)</f>
        <v>#REF!</v>
      </c>
      <c r="AS98" s="47"/>
      <c r="AT98" s="47"/>
      <c r="AV98" s="47"/>
      <c r="AW98" s="47"/>
      <c r="AX98" s="47"/>
      <c r="AY98" s="47"/>
      <c r="AZ98" s="47"/>
    </row>
    <row r="99" spans="1:52" ht="15.75" thickBot="1">
      <c r="A99" s="183" t="s">
        <v>15</v>
      </c>
      <c r="B99" s="177" t="e">
        <f t="shared" ref="B99:I99" si="97">B98/B96</f>
        <v>#DIV/0!</v>
      </c>
      <c r="C99" s="177" t="e">
        <f t="shared" si="97"/>
        <v>#DIV/0!</v>
      </c>
      <c r="D99" s="177" t="e">
        <f t="shared" si="97"/>
        <v>#DIV/0!</v>
      </c>
      <c r="E99" s="177" t="e">
        <f t="shared" si="97"/>
        <v>#DIV/0!</v>
      </c>
      <c r="F99" s="177" t="e">
        <f t="shared" si="97"/>
        <v>#DIV/0!</v>
      </c>
      <c r="G99" s="177" t="e">
        <f t="shared" si="97"/>
        <v>#DIV/0!</v>
      </c>
      <c r="H99" s="177" t="e">
        <f t="shared" si="97"/>
        <v>#DIV/0!</v>
      </c>
      <c r="I99" s="176" t="e">
        <f t="shared" si="97"/>
        <v>#DIV/0!</v>
      </c>
      <c r="J99" s="177" t="e">
        <f t="shared" ref="J99:R99" si="98">J98/J96</f>
        <v>#DIV/0!</v>
      </c>
      <c r="K99" s="177" t="e">
        <f t="shared" si="98"/>
        <v>#DIV/0!</v>
      </c>
      <c r="L99" s="177" t="e">
        <f t="shared" si="98"/>
        <v>#DIV/0!</v>
      </c>
      <c r="M99" s="177" t="e">
        <f t="shared" si="98"/>
        <v>#DIV/0!</v>
      </c>
      <c r="N99" s="177" t="e">
        <f t="shared" si="98"/>
        <v>#DIV/0!</v>
      </c>
      <c r="O99" s="177" t="e">
        <f t="shared" si="98"/>
        <v>#DIV/0!</v>
      </c>
      <c r="P99" s="177" t="e">
        <f t="shared" si="98"/>
        <v>#DIV/0!</v>
      </c>
      <c r="Q99" s="176" t="e">
        <f t="shared" si="98"/>
        <v>#DIV/0!</v>
      </c>
      <c r="R99" s="177" t="e">
        <f t="shared" si="98"/>
        <v>#DIV/0!</v>
      </c>
      <c r="S99" s="177" t="e">
        <f t="shared" ref="S99:Y99" si="99">S98/S96</f>
        <v>#DIV/0!</v>
      </c>
      <c r="T99" s="177" t="e">
        <f t="shared" si="99"/>
        <v>#DIV/0!</v>
      </c>
      <c r="U99" s="177" t="e">
        <f t="shared" si="99"/>
        <v>#DIV/0!</v>
      </c>
      <c r="V99" s="177" t="e">
        <f t="shared" si="99"/>
        <v>#DIV/0!</v>
      </c>
      <c r="W99" s="177" t="e">
        <f t="shared" si="99"/>
        <v>#DIV/0!</v>
      </c>
      <c r="X99" s="177" t="e">
        <f t="shared" si="99"/>
        <v>#DIV/0!</v>
      </c>
      <c r="Y99" s="176" t="e">
        <f t="shared" si="99"/>
        <v>#DIV/0!</v>
      </c>
      <c r="Z99" s="177" t="e">
        <f t="shared" ref="Z99:AG99" si="100">Z98/Z96</f>
        <v>#DIV/0!</v>
      </c>
      <c r="AA99" s="177" t="e">
        <f t="shared" si="100"/>
        <v>#DIV/0!</v>
      </c>
      <c r="AB99" s="177" t="e">
        <f t="shared" si="100"/>
        <v>#DIV/0!</v>
      </c>
      <c r="AC99" s="177" t="e">
        <f t="shared" si="100"/>
        <v>#DIV/0!</v>
      </c>
      <c r="AD99" s="177" t="e">
        <f t="shared" si="100"/>
        <v>#DIV/0!</v>
      </c>
      <c r="AE99" s="177" t="e">
        <f t="shared" si="100"/>
        <v>#DIV/0!</v>
      </c>
      <c r="AF99" s="177" t="e">
        <f t="shared" si="100"/>
        <v>#DIV/0!</v>
      </c>
      <c r="AG99" s="176" t="e">
        <f t="shared" si="100"/>
        <v>#DIV/0!</v>
      </c>
      <c r="AH99" s="177" t="e">
        <f t="shared" ref="AH99:AN99" si="101">AH98/AH96</f>
        <v>#DIV/0!</v>
      </c>
      <c r="AI99" s="177" t="e">
        <f t="shared" si="101"/>
        <v>#DIV/0!</v>
      </c>
      <c r="AJ99" s="177" t="e">
        <f t="shared" si="101"/>
        <v>#DIV/0!</v>
      </c>
      <c r="AK99" s="177" t="e">
        <f t="shared" si="101"/>
        <v>#DIV/0!</v>
      </c>
      <c r="AL99" s="177" t="e">
        <f t="shared" si="101"/>
        <v>#DIV/0!</v>
      </c>
      <c r="AM99" s="177" t="e">
        <f t="shared" si="101"/>
        <v>#DIV/0!</v>
      </c>
      <c r="AN99" s="177" t="e">
        <f t="shared" si="101"/>
        <v>#DIV/0!</v>
      </c>
      <c r="AO99" s="177" t="e">
        <f t="shared" ref="AO99" si="102">AO98/AO96</f>
        <v>#DIV/0!</v>
      </c>
      <c r="AP99" s="224"/>
      <c r="AQ99" s="176" t="e">
        <f>AQ98/AQ96</f>
        <v>#DIV/0!</v>
      </c>
      <c r="AR99" s="193" t="e">
        <f>AR98/AR96</f>
        <v>#REF!</v>
      </c>
      <c r="AS99" s="47"/>
      <c r="AT99" s="47"/>
      <c r="AV99" s="47"/>
      <c r="AW99" s="47"/>
      <c r="AX99" s="47"/>
      <c r="AY99" s="47"/>
      <c r="AZ99" s="47"/>
    </row>
    <row r="100" spans="1:52">
      <c r="A100" s="151"/>
      <c r="B100" s="178"/>
      <c r="C100" s="178"/>
      <c r="D100" s="178"/>
      <c r="E100" s="178"/>
      <c r="F100" s="178"/>
      <c r="G100" s="186"/>
      <c r="H100" s="178"/>
      <c r="I100" s="151"/>
      <c r="J100" s="178"/>
      <c r="K100" s="178"/>
      <c r="L100" s="178"/>
      <c r="M100" s="178"/>
      <c r="N100" s="178"/>
      <c r="O100" s="178"/>
      <c r="P100" s="188"/>
      <c r="Q100" s="151"/>
      <c r="R100" s="189"/>
      <c r="S100" s="189"/>
      <c r="T100" s="189"/>
      <c r="U100" s="189"/>
      <c r="V100" s="189"/>
      <c r="W100" s="189"/>
      <c r="X100" s="189"/>
      <c r="Y100" s="151"/>
      <c r="Z100" s="188"/>
      <c r="AA100" s="178"/>
      <c r="AB100" s="178"/>
      <c r="AC100" s="178"/>
      <c r="AD100" s="178"/>
      <c r="AE100" s="178"/>
      <c r="AF100" s="178"/>
      <c r="AG100" s="151"/>
      <c r="AH100" s="178"/>
      <c r="AI100" s="188"/>
      <c r="AJ100" s="189"/>
      <c r="AK100" s="189"/>
      <c r="AL100" s="189"/>
      <c r="AM100" s="189"/>
      <c r="AN100" s="189"/>
      <c r="AP100" s="189"/>
      <c r="AQ100" s="151"/>
      <c r="AR100" s="47"/>
      <c r="AS100" s="47"/>
      <c r="AU100" s="47"/>
      <c r="AV100" s="47"/>
      <c r="AW100" s="47"/>
      <c r="AX100" s="47"/>
      <c r="AY100" s="47"/>
    </row>
    <row r="101" spans="1:52" s="121" customFormat="1">
      <c r="A101" s="179" t="s">
        <v>16</v>
      </c>
      <c r="B101" s="180"/>
      <c r="C101" s="180"/>
      <c r="D101" s="180"/>
      <c r="E101" s="180"/>
      <c r="F101" s="180"/>
      <c r="G101" s="180"/>
      <c r="H101" s="180"/>
      <c r="I101" s="179"/>
      <c r="J101" s="180"/>
      <c r="K101" s="180"/>
      <c r="L101" s="180"/>
      <c r="M101" s="180"/>
      <c r="N101" s="180"/>
      <c r="O101" s="180"/>
      <c r="P101" s="187"/>
      <c r="Q101" s="179"/>
      <c r="R101" s="180"/>
      <c r="S101" s="180"/>
      <c r="T101" s="180"/>
      <c r="U101" s="180"/>
      <c r="V101" s="180"/>
      <c r="W101" s="180"/>
      <c r="X101" s="180"/>
      <c r="Y101" s="179"/>
      <c r="Z101" s="187"/>
      <c r="AA101" s="180"/>
      <c r="AB101" s="180"/>
      <c r="AC101" s="180"/>
      <c r="AD101" s="180"/>
      <c r="AE101" s="180"/>
      <c r="AF101" s="180"/>
      <c r="AG101" s="179"/>
      <c r="AH101" s="180"/>
      <c r="AI101" s="187"/>
      <c r="AJ101" s="180"/>
      <c r="AK101" s="180"/>
      <c r="AL101" s="180"/>
      <c r="AM101" s="180"/>
      <c r="AN101" s="180"/>
      <c r="AP101" s="180"/>
      <c r="AQ101" s="194" t="s">
        <v>16</v>
      </c>
      <c r="AS101" s="196"/>
      <c r="AU101" s="196"/>
      <c r="AV101" s="196"/>
      <c r="AW101" s="196"/>
      <c r="AX101" s="196"/>
      <c r="AY101" s="196"/>
    </row>
    <row r="102" spans="1:52" s="121" customFormat="1">
      <c r="A102" s="181" t="s">
        <v>17</v>
      </c>
      <c r="B102" s="160"/>
      <c r="C102" s="182"/>
      <c r="D102" s="160"/>
      <c r="E102" s="160"/>
      <c r="F102" s="182"/>
      <c r="G102" s="182"/>
      <c r="H102" s="182"/>
      <c r="I102" s="181"/>
      <c r="J102" s="182"/>
      <c r="K102" s="182"/>
      <c r="L102" s="160"/>
      <c r="M102" s="160"/>
      <c r="N102" s="182"/>
      <c r="O102" s="182"/>
      <c r="P102" s="160"/>
      <c r="Q102" s="181"/>
      <c r="R102" s="160"/>
      <c r="S102" s="160"/>
      <c r="T102" s="160"/>
      <c r="U102" s="160"/>
      <c r="V102" s="160"/>
      <c r="W102" s="160"/>
      <c r="X102" s="160"/>
      <c r="Y102" s="181"/>
      <c r="Z102" s="160"/>
      <c r="AA102" s="160"/>
      <c r="AB102" s="160"/>
      <c r="AC102" s="160"/>
      <c r="AD102" s="160"/>
      <c r="AE102" s="160"/>
      <c r="AF102" s="160"/>
      <c r="AG102" s="181"/>
      <c r="AH102" s="160"/>
      <c r="AI102" s="160"/>
      <c r="AJ102" s="160"/>
      <c r="AK102" s="160"/>
      <c r="AL102" s="190"/>
      <c r="AM102" s="160"/>
      <c r="AN102" s="160"/>
      <c r="AP102" s="160"/>
      <c r="AQ102" s="195" t="s">
        <v>17</v>
      </c>
      <c r="AR102" s="196"/>
      <c r="AS102" s="196"/>
      <c r="AT102" s="196"/>
    </row>
    <row r="103" spans="1:52" ht="15.75" thickBot="1">
      <c r="A103" s="151" t="s">
        <v>28</v>
      </c>
      <c r="B103" s="163" t="s">
        <v>3</v>
      </c>
      <c r="C103" s="163" t="s">
        <v>4</v>
      </c>
      <c r="D103" s="163" t="s">
        <v>4</v>
      </c>
      <c r="E103" s="163" t="s">
        <v>5</v>
      </c>
      <c r="F103" s="163" t="s">
        <v>6</v>
      </c>
      <c r="G103" s="163" t="s">
        <v>7</v>
      </c>
      <c r="H103" s="163" t="s">
        <v>2</v>
      </c>
      <c r="I103" s="163"/>
      <c r="J103" s="163" t="s">
        <v>3</v>
      </c>
      <c r="K103" s="163" t="s">
        <v>4</v>
      </c>
      <c r="L103" s="163" t="s">
        <v>4</v>
      </c>
      <c r="M103" s="163" t="s">
        <v>5</v>
      </c>
      <c r="N103" s="163" t="s">
        <v>6</v>
      </c>
      <c r="O103" s="163" t="s">
        <v>7</v>
      </c>
      <c r="P103" s="163" t="s">
        <v>2</v>
      </c>
      <c r="Q103" s="163"/>
      <c r="R103" s="163" t="s">
        <v>3</v>
      </c>
      <c r="S103" s="163" t="s">
        <v>4</v>
      </c>
      <c r="T103" s="163" t="s">
        <v>4</v>
      </c>
      <c r="U103" s="163" t="s">
        <v>5</v>
      </c>
      <c r="V103" s="163" t="s">
        <v>6</v>
      </c>
      <c r="W103" s="163" t="s">
        <v>7</v>
      </c>
      <c r="X103" s="163" t="s">
        <v>2</v>
      </c>
      <c r="Y103" s="163"/>
      <c r="Z103" s="163" t="s">
        <v>3</v>
      </c>
      <c r="AA103" s="163" t="s">
        <v>4</v>
      </c>
      <c r="AB103" s="163" t="s">
        <v>4</v>
      </c>
      <c r="AC103" s="163" t="s">
        <v>5</v>
      </c>
      <c r="AD103" s="163" t="s">
        <v>6</v>
      </c>
      <c r="AE103" s="163" t="s">
        <v>7</v>
      </c>
      <c r="AF103" s="163" t="s">
        <v>2</v>
      </c>
      <c r="AG103" s="163"/>
      <c r="AH103" s="163" t="s">
        <v>3</v>
      </c>
      <c r="AI103" s="163" t="s">
        <v>4</v>
      </c>
      <c r="AJ103" s="163" t="s">
        <v>4</v>
      </c>
      <c r="AK103" s="163" t="s">
        <v>5</v>
      </c>
      <c r="AL103" s="163" t="s">
        <v>6</v>
      </c>
      <c r="AM103" s="163" t="s">
        <v>7</v>
      </c>
      <c r="AN103" s="163" t="s">
        <v>2</v>
      </c>
      <c r="AO103" s="163"/>
      <c r="AP103" s="151"/>
      <c r="AQ103" s="161"/>
      <c r="AR103" s="161"/>
      <c r="AS103" s="161"/>
    </row>
    <row r="104" spans="1:52" ht="15.75" thickBot="1">
      <c r="A104" s="183" t="s">
        <v>8</v>
      </c>
      <c r="B104" s="169"/>
      <c r="C104" s="169">
        <v>44866</v>
      </c>
      <c r="D104" s="169">
        <v>44867</v>
      </c>
      <c r="E104" s="169">
        <v>44868</v>
      </c>
      <c r="F104" s="169">
        <v>44869</v>
      </c>
      <c r="G104" s="169">
        <v>44870</v>
      </c>
      <c r="H104" s="169">
        <v>44871</v>
      </c>
      <c r="I104" s="166" t="s">
        <v>9</v>
      </c>
      <c r="J104" s="169">
        <v>44872</v>
      </c>
      <c r="K104" s="169">
        <v>44873</v>
      </c>
      <c r="L104" s="169">
        <v>44874</v>
      </c>
      <c r="M104" s="169">
        <v>44875</v>
      </c>
      <c r="N104" s="169">
        <v>44876</v>
      </c>
      <c r="O104" s="169">
        <v>44877</v>
      </c>
      <c r="P104" s="169">
        <v>44878</v>
      </c>
      <c r="Q104" s="166" t="s">
        <v>9</v>
      </c>
      <c r="R104" s="169">
        <v>44879</v>
      </c>
      <c r="S104" s="169">
        <v>44880</v>
      </c>
      <c r="T104" s="169">
        <v>44881</v>
      </c>
      <c r="U104" s="169">
        <v>44882</v>
      </c>
      <c r="V104" s="169">
        <v>44883</v>
      </c>
      <c r="W104" s="169">
        <v>44884</v>
      </c>
      <c r="X104" s="169">
        <v>44885</v>
      </c>
      <c r="Y104" s="166" t="s">
        <v>9</v>
      </c>
      <c r="Z104" s="169">
        <v>44886</v>
      </c>
      <c r="AA104" s="169">
        <v>44887</v>
      </c>
      <c r="AB104" s="169">
        <v>44888</v>
      </c>
      <c r="AC104" s="169">
        <v>44889</v>
      </c>
      <c r="AD104" s="169">
        <v>44890</v>
      </c>
      <c r="AE104" s="169">
        <v>44891</v>
      </c>
      <c r="AF104" s="169">
        <v>44892</v>
      </c>
      <c r="AG104" s="166" t="s">
        <v>9</v>
      </c>
      <c r="AH104" s="169">
        <v>44893</v>
      </c>
      <c r="AI104" s="169">
        <v>44894</v>
      </c>
      <c r="AJ104" s="169">
        <v>44895</v>
      </c>
      <c r="AK104" s="169"/>
      <c r="AL104" s="169"/>
      <c r="AM104" s="169"/>
      <c r="AN104" s="169"/>
      <c r="AO104" s="221"/>
      <c r="AP104" s="166" t="s">
        <v>9</v>
      </c>
      <c r="AQ104" s="191" t="s">
        <v>10</v>
      </c>
      <c r="AV104" s="47"/>
      <c r="AW104" s="47"/>
      <c r="AX104" s="47"/>
      <c r="AY104" s="47"/>
      <c r="AZ104" s="47"/>
    </row>
    <row r="105" spans="1:52">
      <c r="A105" s="183" t="s">
        <v>11</v>
      </c>
      <c r="B105" s="172"/>
      <c r="C105" s="173"/>
      <c r="D105" s="173"/>
      <c r="E105" s="173"/>
      <c r="F105" s="173"/>
      <c r="G105" s="173"/>
      <c r="H105" s="173"/>
      <c r="I105" s="185">
        <f>SUM(B105:H105)</f>
        <v>0</v>
      </c>
      <c r="J105" s="173"/>
      <c r="K105" s="173"/>
      <c r="L105" s="173"/>
      <c r="M105" s="173"/>
      <c r="N105" s="173"/>
      <c r="O105" s="173"/>
      <c r="P105" s="173"/>
      <c r="Q105" s="185">
        <f>SUM(J105:P105)</f>
        <v>0</v>
      </c>
      <c r="R105" s="173"/>
      <c r="S105" s="173"/>
      <c r="T105" s="173"/>
      <c r="U105" s="173"/>
      <c r="V105" s="173"/>
      <c r="W105" s="173"/>
      <c r="X105" s="173"/>
      <c r="Y105" s="185">
        <f>SUM(R105:X105)</f>
        <v>0</v>
      </c>
      <c r="Z105" s="173"/>
      <c r="AA105" s="173"/>
      <c r="AB105" s="173"/>
      <c r="AC105" s="173"/>
      <c r="AD105" s="173"/>
      <c r="AE105" s="173"/>
      <c r="AF105" s="173"/>
      <c r="AG105" s="185">
        <f>SUM(Z105:AF105)</f>
        <v>0</v>
      </c>
      <c r="AH105" s="173"/>
      <c r="AI105" s="173"/>
      <c r="AJ105" s="173"/>
      <c r="AK105" s="173"/>
      <c r="AL105" s="173"/>
      <c r="AM105" s="173"/>
      <c r="AN105" s="173"/>
      <c r="AO105" s="222"/>
      <c r="AP105" s="171">
        <f>SUM(AN105)</f>
        <v>0</v>
      </c>
      <c r="AQ105" s="192" t="e">
        <f>SUM(Y105,Q105,I105,#REF!,AG105,AP105)</f>
        <v>#REF!</v>
      </c>
      <c r="AR105" s="47"/>
      <c r="AS105" s="47"/>
      <c r="AT105" s="47"/>
      <c r="AV105" s="47"/>
      <c r="AW105" s="47"/>
      <c r="AX105" s="47"/>
      <c r="AY105" s="47"/>
      <c r="AZ105" s="47"/>
    </row>
    <row r="106" spans="1:52">
      <c r="A106" s="183" t="s">
        <v>178</v>
      </c>
      <c r="B106" s="172"/>
      <c r="C106" s="173"/>
      <c r="D106" s="173"/>
      <c r="E106" s="173"/>
      <c r="F106" s="173"/>
      <c r="G106" s="173"/>
      <c r="H106" s="173"/>
      <c r="I106" s="185">
        <f>SUM(B106:H106)</f>
        <v>0</v>
      </c>
      <c r="J106" s="173"/>
      <c r="K106" s="173"/>
      <c r="L106" s="173"/>
      <c r="M106" s="173"/>
      <c r="N106" s="173"/>
      <c r="O106" s="173"/>
      <c r="P106" s="173"/>
      <c r="Q106" s="185">
        <f>SUM(J106:P106)</f>
        <v>0</v>
      </c>
      <c r="R106" s="173"/>
      <c r="S106" s="173"/>
      <c r="T106" s="173"/>
      <c r="U106" s="173"/>
      <c r="V106" s="173"/>
      <c r="W106" s="173"/>
      <c r="X106" s="173"/>
      <c r="Y106" s="185">
        <f>SUM(R106:X106)</f>
        <v>0</v>
      </c>
      <c r="Z106" s="173"/>
      <c r="AA106" s="173"/>
      <c r="AB106" s="173"/>
      <c r="AC106" s="173"/>
      <c r="AD106" s="173"/>
      <c r="AE106" s="173"/>
      <c r="AF106" s="173"/>
      <c r="AG106" s="185">
        <f>SUM(Z106:AF106)</f>
        <v>0</v>
      </c>
      <c r="AH106" s="173"/>
      <c r="AI106" s="173"/>
      <c r="AJ106" s="173"/>
      <c r="AK106" s="173"/>
      <c r="AL106" s="173"/>
      <c r="AM106" s="173"/>
      <c r="AN106" s="173"/>
      <c r="AO106" s="222"/>
      <c r="AP106" s="171">
        <f t="shared" ref="AP106:AP107" si="103">SUM(AN106)</f>
        <v>0</v>
      </c>
      <c r="AQ106" s="192" t="e">
        <f>SUM(Y106,Q106,I106,#REF!,AG106,AP106)</f>
        <v>#REF!</v>
      </c>
      <c r="AR106" s="223"/>
      <c r="AS106" s="47"/>
      <c r="AT106" s="47"/>
      <c r="AV106" s="47"/>
      <c r="AW106" s="47"/>
      <c r="AX106" s="47"/>
      <c r="AY106" s="47"/>
      <c r="AZ106" s="47"/>
    </row>
    <row r="107" spans="1:52">
      <c r="A107" s="183" t="s">
        <v>13</v>
      </c>
      <c r="B107" s="173"/>
      <c r="C107" s="173"/>
      <c r="D107" s="173"/>
      <c r="E107" s="173"/>
      <c r="F107" s="173"/>
      <c r="G107" s="173"/>
      <c r="H107" s="173"/>
      <c r="I107" s="185">
        <f>SUM(B107:H107)</f>
        <v>0</v>
      </c>
      <c r="J107" s="173"/>
      <c r="K107" s="173"/>
      <c r="L107" s="173"/>
      <c r="M107" s="173"/>
      <c r="N107" s="173"/>
      <c r="O107" s="173"/>
      <c r="P107" s="173">
        <f t="shared" ref="P107" si="104">P110+P111</f>
        <v>0</v>
      </c>
      <c r="Q107" s="185">
        <f>SUM(J107:P107)</f>
        <v>0</v>
      </c>
      <c r="R107" s="173"/>
      <c r="S107" s="173"/>
      <c r="T107" s="173"/>
      <c r="U107" s="173"/>
      <c r="V107" s="173"/>
      <c r="W107" s="173"/>
      <c r="X107" s="173"/>
      <c r="Y107" s="185">
        <f>SUM(R107:X107)</f>
        <v>0</v>
      </c>
      <c r="Z107" s="173"/>
      <c r="AA107" s="173"/>
      <c r="AB107" s="173"/>
      <c r="AC107" s="173"/>
      <c r="AD107" s="173"/>
      <c r="AE107" s="173"/>
      <c r="AF107" s="173"/>
      <c r="AG107" s="185">
        <f>SUM(Z107:AF107)</f>
        <v>0</v>
      </c>
      <c r="AH107" s="173"/>
      <c r="AI107" s="173"/>
      <c r="AJ107" s="173"/>
      <c r="AK107" s="173"/>
      <c r="AL107" s="173"/>
      <c r="AM107" s="173"/>
      <c r="AN107" s="173"/>
      <c r="AO107" s="222"/>
      <c r="AP107" s="171">
        <f t="shared" si="103"/>
        <v>0</v>
      </c>
      <c r="AQ107" s="192" t="e">
        <f>SUM(Y107,Q107,I107,#REF!,AG107,AP107)</f>
        <v>#REF!</v>
      </c>
      <c r="AR107" s="47" t="s">
        <v>14</v>
      </c>
      <c r="AS107" s="47"/>
      <c r="AT107" s="47"/>
      <c r="AV107" s="47"/>
      <c r="AW107" s="47"/>
      <c r="AX107" s="47"/>
      <c r="AY107" s="47"/>
      <c r="AZ107" s="47"/>
    </row>
    <row r="108" spans="1:52" ht="15.75" thickBot="1">
      <c r="A108" s="183" t="s">
        <v>15</v>
      </c>
      <c r="B108" s="177" t="e">
        <f t="shared" ref="B108:I108" si="105">B107/B105</f>
        <v>#DIV/0!</v>
      </c>
      <c r="C108" s="177" t="e">
        <f t="shared" si="105"/>
        <v>#DIV/0!</v>
      </c>
      <c r="D108" s="177" t="e">
        <f t="shared" si="105"/>
        <v>#DIV/0!</v>
      </c>
      <c r="E108" s="177" t="e">
        <f t="shared" si="105"/>
        <v>#DIV/0!</v>
      </c>
      <c r="F108" s="177" t="e">
        <f t="shared" si="105"/>
        <v>#DIV/0!</v>
      </c>
      <c r="G108" s="177" t="e">
        <f t="shared" si="105"/>
        <v>#DIV/0!</v>
      </c>
      <c r="H108" s="177" t="e">
        <f t="shared" si="105"/>
        <v>#DIV/0!</v>
      </c>
      <c r="I108" s="176" t="e">
        <f t="shared" si="105"/>
        <v>#DIV/0!</v>
      </c>
      <c r="J108" s="177" t="e">
        <f t="shared" ref="J108:R108" si="106">J107/J105</f>
        <v>#DIV/0!</v>
      </c>
      <c r="K108" s="177" t="e">
        <f t="shared" si="106"/>
        <v>#DIV/0!</v>
      </c>
      <c r="L108" s="177" t="e">
        <f t="shared" si="106"/>
        <v>#DIV/0!</v>
      </c>
      <c r="M108" s="177" t="e">
        <f t="shared" si="106"/>
        <v>#DIV/0!</v>
      </c>
      <c r="N108" s="177" t="e">
        <f t="shared" si="106"/>
        <v>#DIV/0!</v>
      </c>
      <c r="O108" s="177" t="e">
        <f t="shared" si="106"/>
        <v>#DIV/0!</v>
      </c>
      <c r="P108" s="177" t="e">
        <f t="shared" si="106"/>
        <v>#DIV/0!</v>
      </c>
      <c r="Q108" s="176" t="e">
        <f t="shared" si="106"/>
        <v>#DIV/0!</v>
      </c>
      <c r="R108" s="177" t="e">
        <f t="shared" si="106"/>
        <v>#DIV/0!</v>
      </c>
      <c r="S108" s="177" t="e">
        <f t="shared" ref="S108:Y108" si="107">S107/S105</f>
        <v>#DIV/0!</v>
      </c>
      <c r="T108" s="177" t="e">
        <f t="shared" si="107"/>
        <v>#DIV/0!</v>
      </c>
      <c r="U108" s="177" t="e">
        <f t="shared" si="107"/>
        <v>#DIV/0!</v>
      </c>
      <c r="V108" s="177" t="e">
        <f t="shared" si="107"/>
        <v>#DIV/0!</v>
      </c>
      <c r="W108" s="177" t="e">
        <f t="shared" si="107"/>
        <v>#DIV/0!</v>
      </c>
      <c r="X108" s="177" t="e">
        <f t="shared" si="107"/>
        <v>#DIV/0!</v>
      </c>
      <c r="Y108" s="176" t="e">
        <f t="shared" si="107"/>
        <v>#DIV/0!</v>
      </c>
      <c r="Z108" s="177" t="e">
        <f t="shared" ref="Z108:AG108" si="108">Z107/Z105</f>
        <v>#DIV/0!</v>
      </c>
      <c r="AA108" s="177" t="e">
        <f t="shared" si="108"/>
        <v>#DIV/0!</v>
      </c>
      <c r="AB108" s="177" t="e">
        <f t="shared" si="108"/>
        <v>#DIV/0!</v>
      </c>
      <c r="AC108" s="177" t="e">
        <f t="shared" si="108"/>
        <v>#DIV/0!</v>
      </c>
      <c r="AD108" s="177" t="e">
        <f t="shared" si="108"/>
        <v>#DIV/0!</v>
      </c>
      <c r="AE108" s="177" t="e">
        <f t="shared" si="108"/>
        <v>#DIV/0!</v>
      </c>
      <c r="AF108" s="177" t="e">
        <f t="shared" si="108"/>
        <v>#DIV/0!</v>
      </c>
      <c r="AG108" s="176" t="e">
        <f t="shared" si="108"/>
        <v>#DIV/0!</v>
      </c>
      <c r="AH108" s="177" t="e">
        <f t="shared" ref="AH108:AN108" si="109">AH107/AH105</f>
        <v>#DIV/0!</v>
      </c>
      <c r="AI108" s="177" t="e">
        <f t="shared" si="109"/>
        <v>#DIV/0!</v>
      </c>
      <c r="AJ108" s="177" t="e">
        <f t="shared" si="109"/>
        <v>#DIV/0!</v>
      </c>
      <c r="AK108" s="177" t="e">
        <f t="shared" si="109"/>
        <v>#DIV/0!</v>
      </c>
      <c r="AL108" s="177" t="e">
        <f t="shared" si="109"/>
        <v>#DIV/0!</v>
      </c>
      <c r="AM108" s="177" t="e">
        <f t="shared" si="109"/>
        <v>#DIV/0!</v>
      </c>
      <c r="AN108" s="177" t="e">
        <f t="shared" si="109"/>
        <v>#DIV/0!</v>
      </c>
      <c r="AO108" s="224"/>
      <c r="AP108" s="176" t="e">
        <f>AP107/AP105</f>
        <v>#DIV/0!</v>
      </c>
      <c r="AQ108" s="193" t="e">
        <f>AQ107/AQ105</f>
        <v>#REF!</v>
      </c>
      <c r="AR108" s="47"/>
      <c r="AS108" s="47"/>
      <c r="AT108" s="47"/>
      <c r="AV108" s="47"/>
      <c r="AW108" s="47"/>
      <c r="AX108" s="47"/>
      <c r="AY108" s="47"/>
      <c r="AZ108" s="47"/>
    </row>
    <row r="109" spans="1:52">
      <c r="A109" s="151"/>
      <c r="B109" s="178"/>
      <c r="C109" s="178"/>
      <c r="D109" s="178"/>
      <c r="E109" s="178"/>
      <c r="F109" s="178"/>
      <c r="G109" s="186"/>
      <c r="H109" s="178"/>
      <c r="I109" s="151"/>
      <c r="J109" s="178"/>
      <c r="K109" s="178"/>
      <c r="L109" s="178"/>
      <c r="M109" s="178"/>
      <c r="N109" s="178"/>
      <c r="O109" s="178"/>
      <c r="P109" s="188"/>
      <c r="Q109" s="151"/>
      <c r="R109" s="189"/>
      <c r="S109" s="189"/>
      <c r="T109" s="189"/>
      <c r="U109" s="189"/>
      <c r="V109" s="189"/>
      <c r="W109" s="189"/>
      <c r="X109" s="189"/>
      <c r="Y109" s="151"/>
      <c r="Z109" s="188"/>
      <c r="AA109" s="178"/>
      <c r="AB109" s="178"/>
      <c r="AC109" s="178"/>
      <c r="AD109" s="178"/>
      <c r="AE109" s="178"/>
      <c r="AF109" s="178"/>
      <c r="AG109" s="151"/>
      <c r="AH109" s="178"/>
      <c r="AI109" s="188"/>
      <c r="AJ109" s="189"/>
      <c r="AK109" s="189"/>
      <c r="AL109" s="189"/>
      <c r="AM109" s="189"/>
      <c r="AN109" s="189"/>
      <c r="AO109" s="189"/>
      <c r="AP109" s="151"/>
      <c r="AQ109" s="47"/>
      <c r="AR109" s="47"/>
      <c r="AS109" s="47"/>
      <c r="AU109" s="47"/>
      <c r="AV109" s="47"/>
      <c r="AW109" s="47"/>
      <c r="AX109" s="47"/>
      <c r="AY109" s="47"/>
    </row>
    <row r="110" spans="1:52" s="121" customFormat="1">
      <c r="A110" s="179" t="s">
        <v>16</v>
      </c>
      <c r="B110" s="180"/>
      <c r="C110" s="180"/>
      <c r="D110" s="180"/>
      <c r="E110" s="180"/>
      <c r="F110" s="180"/>
      <c r="G110" s="180"/>
      <c r="H110" s="180"/>
      <c r="I110" s="179"/>
      <c r="J110" s="180"/>
      <c r="K110" s="180"/>
      <c r="L110" s="180"/>
      <c r="M110" s="180"/>
      <c r="N110" s="180"/>
      <c r="O110" s="180"/>
      <c r="P110" s="187"/>
      <c r="Q110" s="179"/>
      <c r="R110" s="180"/>
      <c r="S110" s="180"/>
      <c r="T110" s="180"/>
      <c r="U110" s="180"/>
      <c r="V110" s="180"/>
      <c r="W110" s="180"/>
      <c r="X110" s="180"/>
      <c r="Y110" s="179"/>
      <c r="Z110" s="180"/>
      <c r="AA110" s="180"/>
      <c r="AB110" s="180"/>
      <c r="AC110" s="180"/>
      <c r="AD110" s="180"/>
      <c r="AE110" s="180"/>
      <c r="AF110" s="180"/>
      <c r="AG110" s="179"/>
      <c r="AH110" s="180"/>
      <c r="AI110" s="180"/>
      <c r="AJ110" s="180"/>
      <c r="AK110" s="180"/>
      <c r="AL110" s="180"/>
      <c r="AM110" s="180"/>
      <c r="AN110" s="180"/>
      <c r="AO110" s="180"/>
      <c r="AP110" s="194" t="s">
        <v>16</v>
      </c>
      <c r="AR110" s="196"/>
      <c r="AS110" s="196"/>
      <c r="AU110" s="196"/>
      <c r="AV110" s="196"/>
      <c r="AW110" s="196"/>
      <c r="AX110" s="196"/>
      <c r="AY110" s="196"/>
    </row>
    <row r="111" spans="1:52" s="121" customFormat="1">
      <c r="A111" s="181" t="s">
        <v>17</v>
      </c>
      <c r="B111" s="160"/>
      <c r="C111" s="182"/>
      <c r="D111" s="160"/>
      <c r="E111" s="160"/>
      <c r="F111" s="182"/>
      <c r="G111" s="182"/>
      <c r="H111" s="182"/>
      <c r="I111" s="181"/>
      <c r="J111" s="182"/>
      <c r="K111" s="182"/>
      <c r="L111" s="160"/>
      <c r="M111" s="160"/>
      <c r="N111" s="182"/>
      <c r="O111" s="182"/>
      <c r="P111" s="160"/>
      <c r="Q111" s="181"/>
      <c r="R111" s="160"/>
      <c r="S111" s="160"/>
      <c r="T111" s="160"/>
      <c r="U111" s="160"/>
      <c r="V111" s="160"/>
      <c r="W111" s="160"/>
      <c r="X111" s="160"/>
      <c r="Y111" s="181"/>
      <c r="Z111" s="160"/>
      <c r="AA111" s="160"/>
      <c r="AB111" s="160"/>
      <c r="AC111" s="160"/>
      <c r="AD111" s="160"/>
      <c r="AE111" s="160"/>
      <c r="AF111" s="160"/>
      <c r="AG111" s="181"/>
      <c r="AH111" s="160"/>
      <c r="AI111" s="160"/>
      <c r="AJ111" s="160"/>
      <c r="AK111" s="160"/>
      <c r="AL111" s="190"/>
      <c r="AM111" s="160"/>
      <c r="AN111" s="160"/>
      <c r="AO111" s="160"/>
      <c r="AP111" s="195" t="s">
        <v>17</v>
      </c>
      <c r="AQ111" s="196"/>
      <c r="AR111" s="196"/>
      <c r="AS111" s="196"/>
      <c r="AT111" s="196"/>
    </row>
    <row r="112" spans="1:52" ht="15.75" thickBot="1">
      <c r="A112" s="151" t="s">
        <v>29</v>
      </c>
      <c r="B112" s="163" t="s">
        <v>3</v>
      </c>
      <c r="C112" s="163" t="s">
        <v>4</v>
      </c>
      <c r="D112" s="163" t="s">
        <v>4</v>
      </c>
      <c r="E112" s="163" t="s">
        <v>5</v>
      </c>
      <c r="F112" s="163" t="s">
        <v>6</v>
      </c>
      <c r="G112" s="163" t="s">
        <v>7</v>
      </c>
      <c r="H112" s="163" t="s">
        <v>2</v>
      </c>
      <c r="I112" s="163"/>
      <c r="J112" s="163" t="s">
        <v>3</v>
      </c>
      <c r="K112" s="163" t="s">
        <v>4</v>
      </c>
      <c r="L112" s="163" t="s">
        <v>4</v>
      </c>
      <c r="M112" s="163" t="s">
        <v>5</v>
      </c>
      <c r="N112" s="163" t="s">
        <v>6</v>
      </c>
      <c r="O112" s="163" t="s">
        <v>7</v>
      </c>
      <c r="P112" s="163" t="s">
        <v>2</v>
      </c>
      <c r="Q112" s="163"/>
      <c r="R112" s="163" t="s">
        <v>3</v>
      </c>
      <c r="S112" s="163" t="s">
        <v>4</v>
      </c>
      <c r="T112" s="163" t="s">
        <v>4</v>
      </c>
      <c r="U112" s="163" t="s">
        <v>5</v>
      </c>
      <c r="V112" s="163" t="s">
        <v>6</v>
      </c>
      <c r="W112" s="163" t="s">
        <v>7</v>
      </c>
      <c r="X112" s="163" t="s">
        <v>2</v>
      </c>
      <c r="Y112" s="163"/>
      <c r="Z112" s="163" t="s">
        <v>3</v>
      </c>
      <c r="AA112" s="163" t="s">
        <v>4</v>
      </c>
      <c r="AB112" s="163" t="s">
        <v>4</v>
      </c>
      <c r="AC112" s="163" t="s">
        <v>5</v>
      </c>
      <c r="AD112" s="163" t="s">
        <v>6</v>
      </c>
      <c r="AE112" s="163" t="s">
        <v>7</v>
      </c>
      <c r="AF112" s="163" t="s">
        <v>2</v>
      </c>
      <c r="AG112" s="163"/>
      <c r="AH112" s="163" t="s">
        <v>3</v>
      </c>
      <c r="AI112" s="163" t="s">
        <v>4</v>
      </c>
      <c r="AJ112" s="163" t="s">
        <v>4</v>
      </c>
      <c r="AK112" s="163" t="s">
        <v>5</v>
      </c>
      <c r="AL112" s="163" t="s">
        <v>6</v>
      </c>
      <c r="AM112" s="163" t="s">
        <v>7</v>
      </c>
      <c r="AN112" s="163" t="s">
        <v>2</v>
      </c>
      <c r="AO112" s="163"/>
      <c r="AP112" s="151"/>
      <c r="AQ112" s="161"/>
      <c r="AR112" s="161"/>
      <c r="AS112" s="161"/>
      <c r="AT112" s="161"/>
      <c r="AU112" s="161"/>
    </row>
    <row r="113" spans="1:52" ht="15.75" thickBot="1">
      <c r="A113" s="183" t="s">
        <v>8</v>
      </c>
      <c r="B113" s="168"/>
      <c r="C113" s="168"/>
      <c r="D113" s="169"/>
      <c r="E113" s="169">
        <v>44896</v>
      </c>
      <c r="F113" s="169">
        <v>44897</v>
      </c>
      <c r="G113" s="169">
        <v>44898</v>
      </c>
      <c r="H113" s="169">
        <v>44899</v>
      </c>
      <c r="I113" s="166" t="s">
        <v>9</v>
      </c>
      <c r="J113" s="169">
        <v>44900</v>
      </c>
      <c r="K113" s="169">
        <v>44901</v>
      </c>
      <c r="L113" s="169">
        <v>44902</v>
      </c>
      <c r="M113" s="169">
        <v>44903</v>
      </c>
      <c r="N113" s="169">
        <v>44904</v>
      </c>
      <c r="O113" s="169">
        <v>44905</v>
      </c>
      <c r="P113" s="169">
        <v>44906</v>
      </c>
      <c r="Q113" s="166" t="s">
        <v>9</v>
      </c>
      <c r="R113" s="169">
        <v>44907</v>
      </c>
      <c r="S113" s="169">
        <v>44908</v>
      </c>
      <c r="T113" s="169">
        <v>44909</v>
      </c>
      <c r="U113" s="169">
        <v>44910</v>
      </c>
      <c r="V113" s="169">
        <v>44911</v>
      </c>
      <c r="W113" s="169">
        <v>44912</v>
      </c>
      <c r="X113" s="169">
        <v>44913</v>
      </c>
      <c r="Y113" s="166" t="s">
        <v>9</v>
      </c>
      <c r="Z113" s="169">
        <v>44914</v>
      </c>
      <c r="AA113" s="169">
        <v>44915</v>
      </c>
      <c r="AB113" s="169">
        <v>44916</v>
      </c>
      <c r="AC113" s="169">
        <v>44917</v>
      </c>
      <c r="AD113" s="169">
        <v>44918</v>
      </c>
      <c r="AE113" s="169">
        <v>44919</v>
      </c>
      <c r="AF113" s="169">
        <v>44920</v>
      </c>
      <c r="AG113" s="166" t="s">
        <v>9</v>
      </c>
      <c r="AH113" s="169">
        <v>44921</v>
      </c>
      <c r="AI113" s="169">
        <v>44922</v>
      </c>
      <c r="AJ113" s="169">
        <v>44923</v>
      </c>
      <c r="AK113" s="169">
        <v>44924</v>
      </c>
      <c r="AL113" s="169">
        <v>44925</v>
      </c>
      <c r="AM113" s="169">
        <v>44926</v>
      </c>
      <c r="AN113" s="169">
        <v>44927</v>
      </c>
      <c r="AO113" s="221"/>
      <c r="AP113" s="166" t="s">
        <v>9</v>
      </c>
      <c r="AQ113" s="191" t="s">
        <v>10</v>
      </c>
      <c r="AV113" s="47"/>
      <c r="AW113" s="47"/>
      <c r="AX113" s="47"/>
      <c r="AY113" s="47"/>
      <c r="AZ113" s="47"/>
    </row>
    <row r="114" spans="1:52">
      <c r="A114" s="183" t="s">
        <v>11</v>
      </c>
      <c r="B114" s="172"/>
      <c r="C114" s="173"/>
      <c r="D114" s="173"/>
      <c r="E114" s="173"/>
      <c r="F114" s="173"/>
      <c r="G114" s="173"/>
      <c r="H114" s="173"/>
      <c r="I114" s="185">
        <f>SUM(B114:H114)</f>
        <v>0</v>
      </c>
      <c r="J114" s="173"/>
      <c r="K114" s="173"/>
      <c r="L114" s="173"/>
      <c r="M114" s="173"/>
      <c r="N114" s="173"/>
      <c r="O114" s="173"/>
      <c r="P114" s="173"/>
      <c r="Q114" s="185">
        <f>SUM(J114:P114)</f>
        <v>0</v>
      </c>
      <c r="R114" s="173"/>
      <c r="S114" s="173"/>
      <c r="T114" s="173"/>
      <c r="U114" s="173"/>
      <c r="V114" s="173"/>
      <c r="W114" s="173"/>
      <c r="X114" s="173"/>
      <c r="Y114" s="185">
        <f>SUM(R114:X114)</f>
        <v>0</v>
      </c>
      <c r="Z114" s="173"/>
      <c r="AA114" s="173"/>
      <c r="AB114" s="173"/>
      <c r="AC114" s="173"/>
      <c r="AD114" s="173"/>
      <c r="AE114" s="173"/>
      <c r="AF114" s="173"/>
      <c r="AG114" s="185">
        <f>SUM(Z114:AF114)</f>
        <v>0</v>
      </c>
      <c r="AH114" s="173"/>
      <c r="AI114" s="173"/>
      <c r="AJ114" s="173"/>
      <c r="AK114" s="173"/>
      <c r="AL114" s="173"/>
      <c r="AM114" s="173"/>
      <c r="AN114" s="173"/>
      <c r="AO114" s="222"/>
      <c r="AP114" s="185">
        <f>SUM(AN114)</f>
        <v>0</v>
      </c>
      <c r="AQ114" s="192" t="e">
        <f>SUM(Y114,Q114,I114,#REF!,AG114,AP114)</f>
        <v>#REF!</v>
      </c>
      <c r="AR114" s="47"/>
      <c r="AS114" s="47"/>
      <c r="AT114" s="47"/>
      <c r="AV114" s="47"/>
      <c r="AW114" s="47"/>
      <c r="AX114" s="47"/>
      <c r="AY114" s="47"/>
      <c r="AZ114" s="47"/>
    </row>
    <row r="115" spans="1:52">
      <c r="A115" s="183" t="s">
        <v>178</v>
      </c>
      <c r="B115" s="172"/>
      <c r="C115" s="173"/>
      <c r="D115" s="173"/>
      <c r="E115" s="173"/>
      <c r="F115" s="173"/>
      <c r="G115" s="173"/>
      <c r="H115" s="173"/>
      <c r="I115" s="185">
        <f>SUM(B115:H115)</f>
        <v>0</v>
      </c>
      <c r="J115" s="173"/>
      <c r="K115" s="173"/>
      <c r="L115" s="173"/>
      <c r="M115" s="173"/>
      <c r="N115" s="173"/>
      <c r="O115" s="173"/>
      <c r="P115" s="173"/>
      <c r="Q115" s="185">
        <f>SUM(J115:P115)</f>
        <v>0</v>
      </c>
      <c r="R115" s="173"/>
      <c r="S115" s="173"/>
      <c r="T115" s="173"/>
      <c r="U115" s="173"/>
      <c r="V115" s="173"/>
      <c r="W115" s="173"/>
      <c r="X115" s="173"/>
      <c r="Y115" s="185">
        <f>SUM(R115:X115)</f>
        <v>0</v>
      </c>
      <c r="Z115" s="173"/>
      <c r="AA115" s="173"/>
      <c r="AB115" s="173"/>
      <c r="AC115" s="173"/>
      <c r="AD115" s="173"/>
      <c r="AE115" s="173"/>
      <c r="AF115" s="173"/>
      <c r="AG115" s="185">
        <f>SUM(Z115:AF115)</f>
        <v>0</v>
      </c>
      <c r="AH115" s="173"/>
      <c r="AI115" s="173"/>
      <c r="AJ115" s="173"/>
      <c r="AK115" s="173"/>
      <c r="AL115" s="173"/>
      <c r="AM115" s="173"/>
      <c r="AN115" s="173"/>
      <c r="AO115" s="222"/>
      <c r="AP115" s="171">
        <f t="shared" ref="AP115:AP116" si="110">SUM(AN115)</f>
        <v>0</v>
      </c>
      <c r="AQ115" s="192" t="e">
        <f>SUM(Y115,Q115,I115,#REF!,AG115,AP115)</f>
        <v>#REF!</v>
      </c>
      <c r="AR115" s="223"/>
      <c r="AS115" s="47"/>
      <c r="AT115" s="47"/>
      <c r="AV115" s="47"/>
      <c r="AW115" s="47"/>
      <c r="AX115" s="47"/>
      <c r="AY115" s="47"/>
      <c r="AZ115" s="47"/>
    </row>
    <row r="116" spans="1:52">
      <c r="A116" s="183" t="s">
        <v>13</v>
      </c>
      <c r="B116" s="173">
        <f>B119+B120</f>
        <v>0</v>
      </c>
      <c r="C116" s="173">
        <f t="shared" ref="C116" si="111">C119+C120</f>
        <v>0</v>
      </c>
      <c r="D116" s="173"/>
      <c r="E116" s="173"/>
      <c r="F116" s="173"/>
      <c r="G116" s="173"/>
      <c r="H116" s="173"/>
      <c r="I116" s="185">
        <f>SUM(B116:H116)</f>
        <v>0</v>
      </c>
      <c r="J116" s="173"/>
      <c r="K116" s="173"/>
      <c r="L116" s="173"/>
      <c r="M116" s="173"/>
      <c r="N116" s="173"/>
      <c r="O116" s="173"/>
      <c r="P116" s="173"/>
      <c r="Q116" s="185">
        <f>SUM(J116:P116)</f>
        <v>0</v>
      </c>
      <c r="R116" s="173"/>
      <c r="S116" s="173"/>
      <c r="T116" s="173"/>
      <c r="U116" s="173"/>
      <c r="V116" s="173"/>
      <c r="W116" s="173"/>
      <c r="X116" s="173"/>
      <c r="Y116" s="185">
        <f>SUM(R116:X116)</f>
        <v>0</v>
      </c>
      <c r="Z116" s="173"/>
      <c r="AA116" s="173"/>
      <c r="AB116" s="173"/>
      <c r="AC116" s="173"/>
      <c r="AD116" s="173"/>
      <c r="AE116" s="173"/>
      <c r="AF116" s="173"/>
      <c r="AG116" s="185">
        <f>SUM(Z116:AF116)</f>
        <v>0</v>
      </c>
      <c r="AH116" s="173">
        <f t="shared" ref="AH116:AN116" si="112">AH119+AH120</f>
        <v>0</v>
      </c>
      <c r="AI116" s="173">
        <f t="shared" si="112"/>
        <v>0</v>
      </c>
      <c r="AJ116" s="173">
        <f t="shared" si="112"/>
        <v>0</v>
      </c>
      <c r="AK116" s="173">
        <f t="shared" si="112"/>
        <v>0</v>
      </c>
      <c r="AL116" s="173">
        <f t="shared" si="112"/>
        <v>0</v>
      </c>
      <c r="AM116" s="173">
        <f t="shared" si="112"/>
        <v>0</v>
      </c>
      <c r="AN116" s="173">
        <f t="shared" si="112"/>
        <v>0</v>
      </c>
      <c r="AO116" s="222"/>
      <c r="AP116" s="171">
        <f t="shared" si="110"/>
        <v>0</v>
      </c>
      <c r="AQ116" s="192" t="e">
        <f>SUM(Y116,Q116,I116,#REF!,AG116,AP116)</f>
        <v>#REF!</v>
      </c>
      <c r="AR116" s="47" t="s">
        <v>14</v>
      </c>
      <c r="AS116" s="47"/>
      <c r="AT116" s="47"/>
      <c r="AV116" s="47"/>
      <c r="AW116" s="47"/>
      <c r="AX116" s="47"/>
      <c r="AY116" s="47"/>
      <c r="AZ116" s="47"/>
    </row>
    <row r="117" spans="1:52" ht="15.75" thickBot="1">
      <c r="A117" s="183" t="s">
        <v>15</v>
      </c>
      <c r="B117" s="177" t="e">
        <f t="shared" ref="B117:I117" si="113">B116/B114</f>
        <v>#DIV/0!</v>
      </c>
      <c r="C117" s="177" t="e">
        <f t="shared" si="113"/>
        <v>#DIV/0!</v>
      </c>
      <c r="D117" s="177" t="e">
        <f t="shared" si="113"/>
        <v>#DIV/0!</v>
      </c>
      <c r="E117" s="177" t="e">
        <f t="shared" si="113"/>
        <v>#DIV/0!</v>
      </c>
      <c r="F117" s="177" t="e">
        <f t="shared" si="113"/>
        <v>#DIV/0!</v>
      </c>
      <c r="G117" s="177" t="e">
        <f t="shared" si="113"/>
        <v>#DIV/0!</v>
      </c>
      <c r="H117" s="177" t="e">
        <f t="shared" si="113"/>
        <v>#DIV/0!</v>
      </c>
      <c r="I117" s="176" t="e">
        <f t="shared" si="113"/>
        <v>#DIV/0!</v>
      </c>
      <c r="J117" s="177" t="e">
        <f t="shared" ref="J117:R117" si="114">J116/J114</f>
        <v>#DIV/0!</v>
      </c>
      <c r="K117" s="177" t="e">
        <f t="shared" si="114"/>
        <v>#DIV/0!</v>
      </c>
      <c r="L117" s="177" t="e">
        <f t="shared" si="114"/>
        <v>#DIV/0!</v>
      </c>
      <c r="M117" s="177" t="e">
        <f t="shared" si="114"/>
        <v>#DIV/0!</v>
      </c>
      <c r="N117" s="177" t="e">
        <f t="shared" si="114"/>
        <v>#DIV/0!</v>
      </c>
      <c r="O117" s="177" t="e">
        <f t="shared" si="114"/>
        <v>#DIV/0!</v>
      </c>
      <c r="P117" s="177" t="e">
        <f t="shared" si="114"/>
        <v>#DIV/0!</v>
      </c>
      <c r="Q117" s="176" t="e">
        <f t="shared" si="114"/>
        <v>#DIV/0!</v>
      </c>
      <c r="R117" s="177" t="e">
        <f t="shared" si="114"/>
        <v>#DIV/0!</v>
      </c>
      <c r="S117" s="177" t="e">
        <f t="shared" ref="S117:Y117" si="115">S116/S114</f>
        <v>#DIV/0!</v>
      </c>
      <c r="T117" s="177" t="e">
        <f t="shared" si="115"/>
        <v>#DIV/0!</v>
      </c>
      <c r="U117" s="177" t="e">
        <f t="shared" si="115"/>
        <v>#DIV/0!</v>
      </c>
      <c r="V117" s="177" t="e">
        <f t="shared" si="115"/>
        <v>#DIV/0!</v>
      </c>
      <c r="W117" s="177" t="e">
        <f t="shared" si="115"/>
        <v>#DIV/0!</v>
      </c>
      <c r="X117" s="177" t="e">
        <f t="shared" si="115"/>
        <v>#DIV/0!</v>
      </c>
      <c r="Y117" s="176" t="e">
        <f t="shared" si="115"/>
        <v>#DIV/0!</v>
      </c>
      <c r="Z117" s="177" t="e">
        <f t="shared" ref="Z117:AG117" si="116">Z116/Z114</f>
        <v>#DIV/0!</v>
      </c>
      <c r="AA117" s="177" t="e">
        <f t="shared" si="116"/>
        <v>#DIV/0!</v>
      </c>
      <c r="AB117" s="177" t="e">
        <f t="shared" si="116"/>
        <v>#DIV/0!</v>
      </c>
      <c r="AC117" s="177" t="e">
        <f t="shared" si="116"/>
        <v>#DIV/0!</v>
      </c>
      <c r="AD117" s="177" t="e">
        <f t="shared" si="116"/>
        <v>#DIV/0!</v>
      </c>
      <c r="AE117" s="177" t="e">
        <f t="shared" si="116"/>
        <v>#DIV/0!</v>
      </c>
      <c r="AF117" s="177" t="e">
        <f t="shared" si="116"/>
        <v>#DIV/0!</v>
      </c>
      <c r="AG117" s="176" t="e">
        <f t="shared" si="116"/>
        <v>#DIV/0!</v>
      </c>
      <c r="AH117" s="177" t="e">
        <f t="shared" ref="AH117:AN117" si="117">AH116/AH114</f>
        <v>#DIV/0!</v>
      </c>
      <c r="AI117" s="177" t="e">
        <f t="shared" si="117"/>
        <v>#DIV/0!</v>
      </c>
      <c r="AJ117" s="177" t="e">
        <f t="shared" si="117"/>
        <v>#DIV/0!</v>
      </c>
      <c r="AK117" s="177" t="e">
        <f t="shared" si="117"/>
        <v>#DIV/0!</v>
      </c>
      <c r="AL117" s="177" t="e">
        <f t="shared" si="117"/>
        <v>#DIV/0!</v>
      </c>
      <c r="AM117" s="177" t="e">
        <f t="shared" si="117"/>
        <v>#DIV/0!</v>
      </c>
      <c r="AN117" s="177" t="e">
        <f t="shared" si="117"/>
        <v>#DIV/0!</v>
      </c>
      <c r="AO117" s="224"/>
      <c r="AP117" s="176" t="e">
        <f>AP116/AP114</f>
        <v>#DIV/0!</v>
      </c>
      <c r="AQ117" s="193" t="e">
        <f>AQ116/AQ114</f>
        <v>#REF!</v>
      </c>
      <c r="AR117" s="47"/>
      <c r="AS117" s="47"/>
      <c r="AT117" s="47"/>
      <c r="AV117" s="47"/>
      <c r="AW117" s="47"/>
      <c r="AX117" s="47"/>
      <c r="AY117" s="47"/>
      <c r="AZ117" s="47"/>
    </row>
    <row r="118" spans="1:52">
      <c r="A118" s="151"/>
      <c r="B118" s="178"/>
      <c r="C118" s="178"/>
      <c r="D118" s="178"/>
      <c r="E118" s="178"/>
      <c r="F118" s="178"/>
      <c r="G118" s="186"/>
      <c r="H118" s="178"/>
      <c r="I118" s="151"/>
      <c r="J118" s="178"/>
      <c r="K118" s="178"/>
      <c r="L118" s="178"/>
      <c r="M118" s="178"/>
      <c r="N118" s="178"/>
      <c r="O118" s="178"/>
      <c r="P118" s="188"/>
      <c r="Q118" s="151"/>
      <c r="R118" s="189"/>
      <c r="S118" s="189"/>
      <c r="T118" s="189"/>
      <c r="U118" s="189"/>
      <c r="V118" s="189"/>
      <c r="W118" s="189"/>
      <c r="X118" s="189"/>
      <c r="Y118" s="151"/>
      <c r="Z118" s="188"/>
      <c r="AA118" s="178"/>
      <c r="AB118" s="178"/>
      <c r="AC118" s="178"/>
      <c r="AD118" s="178"/>
      <c r="AE118" s="178"/>
      <c r="AF118" s="178"/>
      <c r="AG118" s="151"/>
      <c r="AH118" s="178"/>
      <c r="AI118" s="188"/>
      <c r="AJ118" s="189"/>
      <c r="AK118" s="189"/>
      <c r="AL118" s="189"/>
      <c r="AM118" s="189"/>
      <c r="AN118" s="189"/>
      <c r="AO118" s="189"/>
      <c r="AP118" s="151"/>
      <c r="AQ118" s="47"/>
      <c r="AR118" s="47"/>
      <c r="AS118" s="47"/>
      <c r="AU118" s="47"/>
      <c r="AV118" s="47"/>
      <c r="AW118" s="47"/>
      <c r="AX118" s="47"/>
      <c r="AY118" s="47"/>
    </row>
    <row r="119" spans="1:52" s="121" customFormat="1">
      <c r="A119" s="179" t="s">
        <v>16</v>
      </c>
      <c r="B119" s="180"/>
      <c r="C119" s="180"/>
      <c r="D119" s="180"/>
      <c r="E119" s="180"/>
      <c r="F119" s="180"/>
      <c r="G119" s="187"/>
      <c r="H119" s="180"/>
      <c r="I119" s="179"/>
      <c r="J119" s="180"/>
      <c r="K119" s="180"/>
      <c r="L119" s="180"/>
      <c r="M119" s="180"/>
      <c r="N119" s="180"/>
      <c r="O119" s="180"/>
      <c r="P119" s="187"/>
      <c r="Q119" s="179"/>
      <c r="R119" s="180"/>
      <c r="S119" s="180"/>
      <c r="T119" s="180"/>
      <c r="U119" s="180"/>
      <c r="V119" s="180"/>
      <c r="W119" s="180"/>
      <c r="X119" s="180"/>
      <c r="Y119" s="179"/>
      <c r="Z119" s="180"/>
      <c r="AA119" s="180"/>
      <c r="AB119" s="180"/>
      <c r="AC119" s="180"/>
      <c r="AD119" s="180"/>
      <c r="AE119" s="180"/>
      <c r="AF119" s="180"/>
      <c r="AG119" s="179"/>
      <c r="AH119" s="180"/>
      <c r="AI119" s="187"/>
      <c r="AJ119" s="180"/>
      <c r="AK119" s="180"/>
      <c r="AL119" s="180"/>
      <c r="AM119" s="180"/>
      <c r="AN119" s="180"/>
      <c r="AO119" s="180"/>
      <c r="AP119" s="194" t="s">
        <v>16</v>
      </c>
      <c r="AR119" s="196"/>
      <c r="AS119" s="196"/>
      <c r="AU119" s="196"/>
      <c r="AV119" s="196"/>
      <c r="AW119" s="196"/>
      <c r="AX119" s="196"/>
      <c r="AY119" s="196"/>
    </row>
    <row r="120" spans="1:52" s="121" customFormat="1">
      <c r="A120" s="181" t="s">
        <v>17</v>
      </c>
      <c r="B120" s="160"/>
      <c r="C120" s="182"/>
      <c r="D120" s="160"/>
      <c r="E120" s="160"/>
      <c r="F120" s="182"/>
      <c r="G120" s="182"/>
      <c r="H120" s="182"/>
      <c r="I120" s="181"/>
      <c r="J120" s="182"/>
      <c r="K120" s="182"/>
      <c r="L120" s="160"/>
      <c r="M120" s="160"/>
      <c r="N120" s="182"/>
      <c r="O120" s="182"/>
      <c r="P120" s="160"/>
      <c r="Q120" s="181"/>
      <c r="R120" s="160"/>
      <c r="S120" s="160"/>
      <c r="T120" s="160"/>
      <c r="U120" s="160"/>
      <c r="V120" s="160"/>
      <c r="W120" s="160"/>
      <c r="X120" s="160"/>
      <c r="Y120" s="181"/>
      <c r="Z120" s="160"/>
      <c r="AA120" s="160"/>
      <c r="AB120" s="160"/>
      <c r="AC120" s="160"/>
      <c r="AD120" s="160"/>
      <c r="AE120" s="160"/>
      <c r="AF120" s="160"/>
      <c r="AG120" s="181"/>
      <c r="AH120" s="160"/>
      <c r="AI120" s="160"/>
      <c r="AJ120" s="160"/>
      <c r="AK120" s="160"/>
      <c r="AL120" s="190"/>
      <c r="AM120" s="160"/>
      <c r="AN120" s="160"/>
      <c r="AO120" s="160"/>
      <c r="AP120" s="195" t="s">
        <v>17</v>
      </c>
      <c r="AQ120" s="196"/>
      <c r="AR120" s="196"/>
      <c r="AS120" s="196"/>
      <c r="AT120" s="196"/>
    </row>
    <row r="121" spans="1:52">
      <c r="B121" s="47"/>
      <c r="C121" s="47"/>
      <c r="D121" s="47"/>
      <c r="E121" s="47"/>
      <c r="F121" s="47"/>
      <c r="G121" s="47"/>
      <c r="H121" s="47"/>
      <c r="J121" s="47"/>
      <c r="K121" s="47"/>
      <c r="L121" s="47"/>
      <c r="M121" s="47"/>
      <c r="N121" s="47"/>
      <c r="O121" s="47"/>
      <c r="P121" s="47"/>
      <c r="R121" s="47"/>
      <c r="S121" s="47"/>
      <c r="T121" s="47"/>
      <c r="U121" s="47"/>
      <c r="V121" s="47"/>
      <c r="W121" s="47"/>
      <c r="X121" s="47"/>
      <c r="Z121" s="47"/>
      <c r="AA121" s="47"/>
      <c r="AB121" s="47"/>
      <c r="AC121" s="47"/>
      <c r="AD121" s="47"/>
      <c r="AE121" s="47"/>
      <c r="AF121" s="47"/>
      <c r="AH121" s="47"/>
      <c r="AI121" s="47"/>
      <c r="AJ121" s="47"/>
      <c r="AK121" s="161"/>
      <c r="AL121" s="161"/>
      <c r="AM121" s="161"/>
      <c r="AN121" s="161"/>
      <c r="AO121" s="161"/>
      <c r="AQ121" s="161"/>
      <c r="AR121" s="161"/>
      <c r="AS121" s="161"/>
      <c r="AT121" s="161"/>
    </row>
    <row r="122" spans="1:52">
      <c r="AK122" s="161"/>
      <c r="AL122" s="161"/>
      <c r="AM122" s="161"/>
      <c r="AN122" s="161"/>
      <c r="AO122" s="161"/>
      <c r="AQ122" s="161"/>
      <c r="AR122" s="161"/>
      <c r="AS122" s="161"/>
      <c r="AT122" s="161"/>
    </row>
    <row r="123" spans="1:52">
      <c r="AK123" s="161"/>
      <c r="AL123" s="161"/>
      <c r="AM123" s="161"/>
      <c r="AN123" s="161"/>
      <c r="AO123" s="161"/>
      <c r="AQ123" s="161"/>
      <c r="AR123" s="161"/>
      <c r="AS123" s="161"/>
      <c r="AT123" s="161"/>
    </row>
    <row r="124" spans="1:52">
      <c r="AK124" s="161"/>
      <c r="AL124" s="161"/>
      <c r="AM124" s="161"/>
      <c r="AN124" s="161"/>
      <c r="AO124" s="161"/>
      <c r="AQ124" s="161"/>
      <c r="AR124" s="161"/>
      <c r="AS124" s="161"/>
      <c r="AT124" s="161"/>
    </row>
  </sheetData>
  <pageMargins left="0.69930555555555596" right="0.69930555555555596" top="0.75" bottom="0.75" header="0.3" footer="0.3"/>
  <pageSetup fitToWidth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R90"/>
  <sheetViews>
    <sheetView zoomScale="90" zoomScaleNormal="90" workbookViewId="0">
      <selection activeCell="I11" sqref="I11"/>
    </sheetView>
  </sheetViews>
  <sheetFormatPr defaultColWidth="9.140625" defaultRowHeight="15"/>
  <cols>
    <col min="1" max="1" width="18.7109375" customWidth="1"/>
    <col min="2" max="2" width="14.28515625" customWidth="1"/>
    <col min="3" max="3" width="14.5703125" customWidth="1"/>
    <col min="4" max="4" width="16" customWidth="1"/>
    <col min="5" max="5" width="18.5703125" customWidth="1"/>
    <col min="6" max="7" width="15.42578125" customWidth="1"/>
    <col min="8" max="9" width="15.85546875" customWidth="1"/>
    <col min="10" max="10" width="16.7109375" customWidth="1"/>
    <col min="11" max="11" width="15.7109375" customWidth="1"/>
    <col min="12" max="12" width="14.42578125" customWidth="1"/>
    <col min="13" max="13" width="11.5703125" customWidth="1"/>
    <col min="14" max="14" width="17" customWidth="1"/>
    <col min="15" max="15" width="17.42578125" customWidth="1"/>
    <col min="16" max="16" width="15.5703125" customWidth="1"/>
    <col min="17" max="17" width="11.140625" customWidth="1"/>
    <col min="18" max="18" width="18.28515625" customWidth="1"/>
  </cols>
  <sheetData>
    <row r="1" spans="1:17" ht="21">
      <c r="A1" s="354" t="s">
        <v>177</v>
      </c>
      <c r="B1" s="354"/>
      <c r="C1" s="354"/>
      <c r="D1" s="354"/>
      <c r="E1" s="354"/>
      <c r="F1" s="354"/>
      <c r="G1" s="354"/>
      <c r="H1" s="14"/>
      <c r="I1" s="14"/>
      <c r="J1" s="14"/>
      <c r="K1" s="21"/>
    </row>
    <row r="2" spans="1:17" ht="21">
      <c r="A2" s="13"/>
      <c r="B2" s="14"/>
      <c r="C2" s="14"/>
      <c r="D2" s="14"/>
      <c r="E2" s="14"/>
      <c r="F2" s="14"/>
      <c r="G2" s="14"/>
      <c r="H2" s="14"/>
      <c r="I2" s="14"/>
      <c r="J2" s="14"/>
      <c r="K2" s="21"/>
    </row>
    <row r="3" spans="1:17" ht="15.75">
      <c r="A3" s="268">
        <v>2020</v>
      </c>
      <c r="B3" s="269">
        <f>'Graphics Scrap'!C78</f>
        <v>1071</v>
      </c>
      <c r="C3" s="269">
        <f>'Graphics Scrap'!D78</f>
        <v>1144</v>
      </c>
      <c r="D3" s="269">
        <f>'Graphics Scrap'!E78</f>
        <v>1339</v>
      </c>
      <c r="E3" s="269">
        <f>'Graphics Scrap'!F78</f>
        <v>1118</v>
      </c>
      <c r="F3" s="269">
        <f>'Graphics Scrap'!G78</f>
        <v>1031</v>
      </c>
      <c r="G3" s="269">
        <f>'Graphics Scrap'!H78</f>
        <v>1523</v>
      </c>
      <c r="H3" s="269">
        <f>'Graphics Scrap'!I78</f>
        <v>1901</v>
      </c>
      <c r="I3" s="269">
        <f>'Graphics Scrap'!J78</f>
        <v>1920</v>
      </c>
      <c r="J3" s="269">
        <f>'Graphics Scrap'!K78</f>
        <v>2195</v>
      </c>
      <c r="K3" s="269">
        <f>'Graphics Scrap'!L78</f>
        <v>2213</v>
      </c>
      <c r="L3" s="270">
        <f>'Graphics Scrap'!M78</f>
        <v>1516</v>
      </c>
      <c r="M3" s="270">
        <f>'Graphics Scrap'!N78</f>
        <v>1375</v>
      </c>
      <c r="N3" s="121">
        <f>SUM(B3:M3)</f>
        <v>18346</v>
      </c>
    </row>
    <row r="4" spans="1:17" ht="15.75">
      <c r="A4" s="268">
        <v>2021</v>
      </c>
      <c r="B4" s="269">
        <f>'Graphics Scrap'!C77</f>
        <v>1022.1049999999999</v>
      </c>
      <c r="C4" s="269">
        <f>'Graphics Scrap'!D77</f>
        <v>1039.2318</v>
      </c>
      <c r="D4" s="269">
        <f>'Graphics Scrap'!E77</f>
        <v>1260.2484999999999</v>
      </c>
      <c r="E4" s="269">
        <f>'Graphics Scrap'!F77</f>
        <v>1214.0825</v>
      </c>
      <c r="F4" s="271">
        <f>'Graphics Scrap'!G77</f>
        <v>1141.4704999999999</v>
      </c>
      <c r="G4" s="269">
        <f>'Graphics Scrap'!H77</f>
        <v>1112.26685</v>
      </c>
      <c r="H4" s="269">
        <f>'Graphics Scrap'!I77</f>
        <v>1403.4295000000002</v>
      </c>
      <c r="I4" s="271">
        <f>'Graphics Scrap'!J77</f>
        <v>1468.7565</v>
      </c>
      <c r="J4" s="271">
        <f>'Graphics Scrap'!K77</f>
        <v>1457.6268</v>
      </c>
      <c r="K4" s="295">
        <f>'Graphics Scrap'!L77</f>
        <v>1965.3009999999999</v>
      </c>
      <c r="L4" s="296">
        <f>'Graphics Scrap'!M77</f>
        <v>1355.3690000000001</v>
      </c>
      <c r="M4" s="296">
        <f>'Graphics Scrap'!N77</f>
        <v>839.34500000000003</v>
      </c>
      <c r="N4" s="121">
        <f>SUM(B4:M4)</f>
        <v>15279.232949999998</v>
      </c>
    </row>
    <row r="5" spans="1:17" ht="21">
      <c r="A5" s="13"/>
      <c r="B5" s="14"/>
      <c r="C5" s="14"/>
      <c r="D5" s="14"/>
      <c r="E5" s="14"/>
      <c r="F5" s="14"/>
      <c r="G5" s="14"/>
      <c r="H5" s="14"/>
      <c r="I5" s="14"/>
      <c r="J5" s="14"/>
      <c r="K5" s="21"/>
    </row>
    <row r="6" spans="1:17" ht="21">
      <c r="A6" s="13"/>
      <c r="B6" s="14"/>
      <c r="C6" s="14"/>
      <c r="D6" s="14"/>
      <c r="E6" s="14"/>
      <c r="F6" s="14"/>
      <c r="G6" s="14"/>
      <c r="H6" s="14"/>
      <c r="I6" s="14"/>
      <c r="J6" s="14"/>
      <c r="K6" s="21"/>
    </row>
    <row r="7" spans="1:17" ht="16.5" customHeight="1">
      <c r="A7" s="13"/>
      <c r="B7" s="14"/>
      <c r="C7" s="14"/>
      <c r="D7" s="14"/>
      <c r="E7" s="14"/>
      <c r="F7" s="14"/>
      <c r="G7" s="14"/>
      <c r="H7" s="14"/>
      <c r="I7" s="14"/>
      <c r="J7" s="14"/>
      <c r="K7" s="21"/>
    </row>
    <row r="8" spans="1:17" ht="15.75">
      <c r="A8" s="15" t="s">
        <v>109</v>
      </c>
      <c r="B8" s="16" t="s">
        <v>179</v>
      </c>
      <c r="C8" s="14"/>
      <c r="D8" s="14"/>
      <c r="E8" s="14"/>
      <c r="F8" s="14"/>
      <c r="G8" s="14"/>
      <c r="H8" s="14"/>
      <c r="I8" s="14"/>
      <c r="J8" s="14"/>
      <c r="K8" s="21"/>
    </row>
    <row r="9" spans="1:17" s="11" customFormat="1" ht="45">
      <c r="A9" s="17" t="s">
        <v>110</v>
      </c>
      <c r="B9" s="17" t="s">
        <v>111</v>
      </c>
      <c r="C9" s="17" t="s">
        <v>112</v>
      </c>
      <c r="D9" s="17" t="s">
        <v>113</v>
      </c>
      <c r="E9" s="17" t="s">
        <v>114</v>
      </c>
      <c r="F9" s="17" t="s">
        <v>115</v>
      </c>
      <c r="G9" s="17" t="s">
        <v>116</v>
      </c>
      <c r="H9" s="17" t="s">
        <v>117</v>
      </c>
      <c r="I9" s="17" t="s">
        <v>118</v>
      </c>
      <c r="J9" s="17" t="s">
        <v>119</v>
      </c>
      <c r="K9" s="17" t="s">
        <v>120</v>
      </c>
      <c r="L9" s="17" t="s">
        <v>121</v>
      </c>
      <c r="M9" s="17" t="s">
        <v>122</v>
      </c>
      <c r="N9" s="30" t="s">
        <v>156</v>
      </c>
      <c r="O9" s="30" t="s">
        <v>157</v>
      </c>
      <c r="P9" s="30" t="s">
        <v>123</v>
      </c>
      <c r="Q9" s="30" t="s">
        <v>124</v>
      </c>
    </row>
    <row r="10" spans="1:17" s="11" customFormat="1">
      <c r="A10" s="18" t="s">
        <v>125</v>
      </c>
      <c r="B10" s="19">
        <f>B38+B63+B86</f>
        <v>936.38550000000009</v>
      </c>
      <c r="C10" s="19">
        <f t="shared" ref="C10:D10" si="0">C38+C63+C86</f>
        <v>950.5379999999999</v>
      </c>
      <c r="D10" s="19">
        <f t="shared" si="0"/>
        <v>1243.973</v>
      </c>
      <c r="E10" s="19">
        <f t="shared" ref="E10:G10" si="1">E38+E63+E86</f>
        <v>1272.1990000000001</v>
      </c>
      <c r="F10" s="19">
        <f>F38+F63+F86</f>
        <v>1333.817</v>
      </c>
      <c r="G10" s="19">
        <f t="shared" si="1"/>
        <v>1032.8815</v>
      </c>
      <c r="H10" s="19">
        <f>SUM(H38,H63,H86)</f>
        <v>1047.6780000000001</v>
      </c>
      <c r="I10" s="19">
        <f t="shared" ref="I10:M11" si="2">I38+I63+I86</f>
        <v>1277.788</v>
      </c>
      <c r="J10" s="19">
        <f t="shared" si="2"/>
        <v>741.75900000000001</v>
      </c>
      <c r="K10" s="19">
        <f>K38+K63+K86</f>
        <v>0</v>
      </c>
      <c r="L10" s="19">
        <f t="shared" si="2"/>
        <v>0</v>
      </c>
      <c r="M10" s="19">
        <f t="shared" si="2"/>
        <v>0</v>
      </c>
      <c r="N10" s="19">
        <f>SUM(B10:M10)</f>
        <v>9837.0190000000002</v>
      </c>
      <c r="O10" s="19">
        <f>O38+O63+O86</f>
        <v>18346.260000000002</v>
      </c>
      <c r="P10" s="31">
        <f>N10-O10</f>
        <v>-8509.2410000000018</v>
      </c>
      <c r="Q10" s="42">
        <f>P10/O10*100</f>
        <v>-46.381338757872179</v>
      </c>
    </row>
    <row r="11" spans="1:17" s="11" customFormat="1">
      <c r="A11" s="18" t="s">
        <v>126</v>
      </c>
      <c r="B11" s="20">
        <f>B39+B64+B87</f>
        <v>110225.04102399999</v>
      </c>
      <c r="C11" s="20">
        <f>C39+C64+C87</f>
        <v>105181.76979199999</v>
      </c>
      <c r="D11" s="20">
        <f>D39+D64+D87</f>
        <v>142833.81958399998</v>
      </c>
      <c r="E11" s="20">
        <f>E39+E64+E87</f>
        <v>140110.22015000001</v>
      </c>
      <c r="F11" s="20">
        <f>F39+F64+F87</f>
        <v>176907.53919000001</v>
      </c>
      <c r="G11" s="20">
        <f t="shared" ref="G11" si="3">G39+G64+G87</f>
        <v>139322.92636000001</v>
      </c>
      <c r="H11" s="20">
        <f>H39+H64+H87</f>
        <v>152594.65340000001</v>
      </c>
      <c r="I11" s="20">
        <f t="shared" si="2"/>
        <v>167559.59621000002</v>
      </c>
      <c r="J11" s="20">
        <f t="shared" si="2"/>
        <v>0</v>
      </c>
      <c r="K11" s="20">
        <f t="shared" si="2"/>
        <v>0</v>
      </c>
      <c r="L11" s="20">
        <f>L39+L64+L87</f>
        <v>0</v>
      </c>
      <c r="M11" s="20">
        <f t="shared" si="2"/>
        <v>0</v>
      </c>
      <c r="N11" s="20">
        <f>SUM(B11:M11)</f>
        <v>1134735.5657100002</v>
      </c>
      <c r="O11" s="20">
        <f>O39+O64+O87</f>
        <v>1295781.8799999999</v>
      </c>
      <c r="P11" s="32">
        <f>N11-O11</f>
        <v>-161046.31428999966</v>
      </c>
      <c r="Q11" s="42">
        <f>P11/O11*100</f>
        <v>-12.428504887720738</v>
      </c>
    </row>
    <row r="12" spans="1:17">
      <c r="A12" s="21"/>
      <c r="B12" s="22"/>
      <c r="C12" s="22"/>
      <c r="D12" s="22"/>
      <c r="E12" s="22"/>
      <c r="F12" s="22"/>
      <c r="G12" s="23"/>
      <c r="H12" s="23"/>
      <c r="I12" s="21"/>
      <c r="J12" s="21"/>
      <c r="K12" s="21"/>
      <c r="N12" s="33">
        <f>N11/N10</f>
        <v>115.35360109703969</v>
      </c>
      <c r="O12" s="33">
        <f>O11/O10</f>
        <v>70.629211621333155</v>
      </c>
    </row>
    <row r="13" spans="1:17">
      <c r="A13" s="21"/>
      <c r="B13" s="23"/>
      <c r="C13" s="23"/>
      <c r="D13" s="23"/>
      <c r="E13" s="23"/>
      <c r="F13" s="23"/>
      <c r="G13" s="23"/>
      <c r="H13" s="23"/>
      <c r="I13" s="21"/>
      <c r="J13" s="21"/>
      <c r="K13" s="21"/>
    </row>
    <row r="16" spans="1:17">
      <c r="K16" s="34"/>
    </row>
    <row r="25" spans="1:18">
      <c r="H25" s="273"/>
    </row>
    <row r="28" spans="1:18">
      <c r="N28" s="35"/>
      <c r="O28" s="35"/>
      <c r="R28" s="43" t="s">
        <v>127</v>
      </c>
    </row>
    <row r="29" spans="1:18" ht="30.75" customHeight="1">
      <c r="A29" s="15" t="s">
        <v>128</v>
      </c>
      <c r="B29" s="24" t="s">
        <v>111</v>
      </c>
      <c r="C29" s="24" t="s">
        <v>112</v>
      </c>
      <c r="D29" s="24" t="s">
        <v>113</v>
      </c>
      <c r="E29" s="24" t="s">
        <v>114</v>
      </c>
      <c r="F29" s="24" t="s">
        <v>115</v>
      </c>
      <c r="G29" s="24" t="s">
        <v>116</v>
      </c>
      <c r="H29" s="320" t="s">
        <v>117</v>
      </c>
      <c r="I29" s="36" t="s">
        <v>118</v>
      </c>
      <c r="J29" s="36" t="s">
        <v>119</v>
      </c>
      <c r="K29" s="37" t="s">
        <v>120</v>
      </c>
      <c r="L29" s="37" t="s">
        <v>121</v>
      </c>
      <c r="M29" s="37" t="s">
        <v>122</v>
      </c>
      <c r="N29" s="276" t="s">
        <v>158</v>
      </c>
      <c r="O29" s="277" t="s">
        <v>157</v>
      </c>
      <c r="P29" s="278" t="s">
        <v>129</v>
      </c>
      <c r="Q29" s="279" t="s">
        <v>93</v>
      </c>
      <c r="R29" s="44" t="s">
        <v>130</v>
      </c>
    </row>
    <row r="30" spans="1:18">
      <c r="A30" s="25" t="s">
        <v>25</v>
      </c>
      <c r="B30" s="26">
        <f>'Plant 1 A'!C5</f>
        <v>522.58799999999997</v>
      </c>
      <c r="C30" s="26">
        <f>'PLANT 1'!AO21/1000</f>
        <v>608.78</v>
      </c>
      <c r="D30" s="26">
        <f>'Plant 1 A'!E5</f>
        <v>756.952</v>
      </c>
      <c r="E30" s="26">
        <f>'Plant 1 A'!F5</f>
        <v>736.54600000000005</v>
      </c>
      <c r="F30" s="26">
        <f>'Plant 1 A'!G5</f>
        <v>837.34500000000003</v>
      </c>
      <c r="G30" s="26">
        <f>'Plant 1 A'!H5</f>
        <v>603.74149999999997</v>
      </c>
      <c r="H30" s="26">
        <f>'Plant 1 A'!I5</f>
        <v>575.28200000000004</v>
      </c>
      <c r="I30" s="26">
        <f>'Plant 1 A'!J5</f>
        <v>792.05799999999999</v>
      </c>
      <c r="J30" s="26">
        <f>'Plant 1 A'!K5</f>
        <v>431.79300000000001</v>
      </c>
      <c r="K30" s="26">
        <f>'Plant 1 A'!L5</f>
        <v>0</v>
      </c>
      <c r="L30" s="26">
        <f>'Plant 1 A'!M5</f>
        <v>0</v>
      </c>
      <c r="M30" s="26">
        <f>'Plant 1 A'!N5</f>
        <v>0</v>
      </c>
      <c r="N30" s="38">
        <f>'Plant 1 A'!O5</f>
        <v>5340.3215</v>
      </c>
      <c r="O30" s="280">
        <v>8768.2900000000009</v>
      </c>
      <c r="P30" s="280"/>
      <c r="Q30" s="291"/>
      <c r="R30" s="43">
        <v>4315</v>
      </c>
    </row>
    <row r="31" spans="1:18">
      <c r="A31" s="25" t="s">
        <v>131</v>
      </c>
      <c r="B31" s="26">
        <f>'Plant 1 A'!C17</f>
        <v>126.76</v>
      </c>
      <c r="C31" s="26">
        <f>'Plant 1 A'!D17</f>
        <v>115.74</v>
      </c>
      <c r="D31" s="26">
        <f>'Plant 1 A'!E17</f>
        <v>121.25</v>
      </c>
      <c r="E31" s="26">
        <f>'Plant 1 A'!F17</f>
        <v>115.74</v>
      </c>
      <c r="F31" s="26">
        <f>'Plant 1 A'!G17</f>
        <v>137.79</v>
      </c>
      <c r="G31" s="26">
        <f>'Plant 1 A'!H17</f>
        <v>143.30000000000001</v>
      </c>
      <c r="H31" s="26">
        <f>'Plant 1 A'!I17</f>
        <v>154.32</v>
      </c>
      <c r="I31" s="26">
        <f>'Plant 1 A'!J17</f>
        <v>137.79</v>
      </c>
      <c r="J31" s="26">
        <f>'Plant 1 A'!K17</f>
        <v>0</v>
      </c>
      <c r="K31" s="26">
        <f>'Plant 1 A'!L17</f>
        <v>0</v>
      </c>
      <c r="L31" s="26">
        <f>'Plant 1 A'!M17</f>
        <v>0</v>
      </c>
      <c r="M31" s="26">
        <f>'Plant 1 A'!N17</f>
        <v>0</v>
      </c>
      <c r="N31" s="26"/>
      <c r="O31" s="282"/>
      <c r="P31" s="282"/>
      <c r="Q31" s="283"/>
      <c r="R31" s="43"/>
    </row>
    <row r="32" spans="1:18">
      <c r="A32" s="25" t="s">
        <v>126</v>
      </c>
      <c r="B32" s="27">
        <f>B30*B31</f>
        <v>66243.254879999993</v>
      </c>
      <c r="C32" s="27">
        <f t="shared" ref="C32:H32" si="4">C30*C31</f>
        <v>70460.197199999995</v>
      </c>
      <c r="D32" s="27">
        <f t="shared" si="4"/>
        <v>91780.43</v>
      </c>
      <c r="E32" s="27">
        <f>E30*E31</f>
        <v>85247.834040000002</v>
      </c>
      <c r="F32" s="27">
        <f t="shared" si="4"/>
        <v>115377.76755</v>
      </c>
      <c r="G32" s="27">
        <f t="shared" si="4"/>
        <v>86516.156950000004</v>
      </c>
      <c r="H32" s="27">
        <f t="shared" si="4"/>
        <v>88777.518240000005</v>
      </c>
      <c r="I32" s="27">
        <f t="shared" ref="I32:J32" si="5">I30*I31</f>
        <v>109137.67181999999</v>
      </c>
      <c r="J32" s="27">
        <f t="shared" si="5"/>
        <v>0</v>
      </c>
      <c r="K32" s="27">
        <f t="shared" ref="K32:L32" si="6">K30*K31</f>
        <v>0</v>
      </c>
      <c r="L32" s="27">
        <f t="shared" si="6"/>
        <v>0</v>
      </c>
      <c r="M32" s="27">
        <f t="shared" ref="M32" si="7">M30*M31</f>
        <v>0</v>
      </c>
      <c r="N32" s="39">
        <f>'Plant 1 A'!O11</f>
        <v>652804.64531999989</v>
      </c>
      <c r="O32" s="284">
        <v>709127.94</v>
      </c>
      <c r="P32" s="280"/>
      <c r="Q32" s="281"/>
      <c r="R32" s="43">
        <v>433318.84</v>
      </c>
    </row>
    <row r="33" spans="1:18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85"/>
      <c r="P33" s="285"/>
      <c r="Q33" s="286"/>
      <c r="R33" s="43"/>
    </row>
    <row r="34" spans="1:18">
      <c r="A34" s="25" t="s">
        <v>132</v>
      </c>
      <c r="B34" s="26">
        <f>'Plant 1 A'!C7</f>
        <v>118.1275</v>
      </c>
      <c r="C34" s="26">
        <f>'PLANT 1'!AO22/1000</f>
        <v>84.016000000000005</v>
      </c>
      <c r="D34" s="26">
        <f>'Plant 1 A'!E7</f>
        <v>129.70400000000001</v>
      </c>
      <c r="E34" s="26">
        <f>'Plant 1 A'!F7</f>
        <v>116.602</v>
      </c>
      <c r="F34" s="26">
        <f>'Plant 1 A'!G7</f>
        <v>130.328</v>
      </c>
      <c r="G34" s="26">
        <f>'Plant 1 A'!H7</f>
        <v>109.54900000000001</v>
      </c>
      <c r="H34" s="26">
        <f>'Plant 1 A'!I7</f>
        <v>187.76949999999999</v>
      </c>
      <c r="I34" s="26">
        <f>'Plant 1 A'!J7</f>
        <v>172.148</v>
      </c>
      <c r="J34" s="26">
        <f>'Plant 1 A'!K7</f>
        <v>123.938</v>
      </c>
      <c r="K34" s="26">
        <f>'Plant 1 A'!L7</f>
        <v>0</v>
      </c>
      <c r="L34" s="26">
        <f>'Plant 1 A'!M7</f>
        <v>0</v>
      </c>
      <c r="M34" s="26">
        <f>'Plant 1 A'!N7</f>
        <v>0</v>
      </c>
      <c r="N34" s="38">
        <f>'Plant 1 A'!O7</f>
        <v>1696.9460000000001</v>
      </c>
      <c r="O34" s="280">
        <v>2113.5300000000002</v>
      </c>
      <c r="P34" s="280"/>
      <c r="Q34" s="281"/>
      <c r="R34" s="43">
        <v>720</v>
      </c>
    </row>
    <row r="35" spans="1:18">
      <c r="A35" s="25" t="s">
        <v>131</v>
      </c>
      <c r="B35" s="26">
        <f>'Plant 1 A'!C20</f>
        <v>100.29</v>
      </c>
      <c r="C35" s="26">
        <f>'Plant 1 A'!D20</f>
        <v>87.11</v>
      </c>
      <c r="D35" s="26">
        <f>'Plant 1 A'!E20</f>
        <v>95.81</v>
      </c>
      <c r="E35" s="26">
        <f>'Plant 1 A'!F20</f>
        <v>87.5</v>
      </c>
      <c r="F35" s="26">
        <f>'Plant 1 A'!G20</f>
        <v>112.38</v>
      </c>
      <c r="G35" s="26">
        <f>'Plant 1 A'!H20</f>
        <v>115.37</v>
      </c>
      <c r="H35" s="26">
        <f>'Plant 1 A'!I20</f>
        <v>132.49</v>
      </c>
      <c r="I35" s="26">
        <f>'Plant 1 A'!J20</f>
        <v>107.43</v>
      </c>
      <c r="J35" s="26">
        <f>'Plant 1 A'!K20</f>
        <v>0</v>
      </c>
      <c r="K35" s="26">
        <f>'Plant 1 A'!L20</f>
        <v>0</v>
      </c>
      <c r="L35" s="26">
        <f>'Plant 1 A'!M20</f>
        <v>0</v>
      </c>
      <c r="M35" s="26">
        <f>'Plant 1 A'!N20</f>
        <v>0</v>
      </c>
      <c r="N35" s="26"/>
      <c r="O35" s="282"/>
      <c r="P35" s="282"/>
      <c r="Q35" s="283"/>
      <c r="R35" s="43"/>
    </row>
    <row r="36" spans="1:18">
      <c r="A36" s="25" t="s">
        <v>126</v>
      </c>
      <c r="B36" s="27">
        <f>B34*B35</f>
        <v>11847.006975</v>
      </c>
      <c r="C36" s="27">
        <f t="shared" ref="C36:H36" si="8">C34*C35</f>
        <v>7318.6337600000006</v>
      </c>
      <c r="D36" s="27">
        <f t="shared" si="8"/>
        <v>12426.940240000002</v>
      </c>
      <c r="E36" s="27">
        <f t="shared" si="8"/>
        <v>10202.675000000001</v>
      </c>
      <c r="F36" s="27">
        <f>F34*F35</f>
        <v>14646.26064</v>
      </c>
      <c r="G36" s="27">
        <f t="shared" si="8"/>
        <v>12638.668130000002</v>
      </c>
      <c r="H36" s="27">
        <f t="shared" si="8"/>
        <v>24877.581055000002</v>
      </c>
      <c r="I36" s="27">
        <f t="shared" ref="I36:J36" si="9">I34*I35</f>
        <v>18493.859640000002</v>
      </c>
      <c r="J36" s="27">
        <f t="shared" si="9"/>
        <v>0</v>
      </c>
      <c r="K36" s="27">
        <f t="shared" ref="K36:L36" si="10">K34*K35</f>
        <v>0</v>
      </c>
      <c r="L36" s="27">
        <f t="shared" si="10"/>
        <v>0</v>
      </c>
      <c r="M36" s="27">
        <f t="shared" ref="M36" si="11">M34*M35</f>
        <v>0</v>
      </c>
      <c r="N36" s="39">
        <f>'Plant 1 A'!O12</f>
        <v>158163.81748</v>
      </c>
      <c r="O36" s="284">
        <v>81834.13</v>
      </c>
      <c r="P36" s="280"/>
      <c r="Q36" s="281"/>
      <c r="R36" s="43">
        <v>52244.91</v>
      </c>
    </row>
    <row r="37" spans="1:18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85"/>
      <c r="P37" s="285"/>
      <c r="Q37" s="286"/>
      <c r="R37" s="43"/>
    </row>
    <row r="38" spans="1:18">
      <c r="A38" s="25" t="s">
        <v>133</v>
      </c>
      <c r="B38" s="26">
        <f>B30+B34</f>
        <v>640.71550000000002</v>
      </c>
      <c r="C38" s="26">
        <f t="shared" ref="C38:G38" si="12">C30+C34</f>
        <v>692.79599999999994</v>
      </c>
      <c r="D38" s="26">
        <f t="shared" si="12"/>
        <v>886.65599999999995</v>
      </c>
      <c r="E38" s="26">
        <f>E30+E34</f>
        <v>853.14800000000002</v>
      </c>
      <c r="F38" s="26">
        <f t="shared" si="12"/>
        <v>967.673</v>
      </c>
      <c r="G38" s="26">
        <f t="shared" si="12"/>
        <v>713.29049999999995</v>
      </c>
      <c r="H38" s="26">
        <f>H30+H34</f>
        <v>763.05150000000003</v>
      </c>
      <c r="I38" s="26">
        <f t="shared" ref="I38:J38" si="13">I30+I34</f>
        <v>964.20600000000002</v>
      </c>
      <c r="J38" s="26">
        <f t="shared" si="13"/>
        <v>555.73099999999999</v>
      </c>
      <c r="K38" s="26">
        <f>K30+K34</f>
        <v>0</v>
      </c>
      <c r="L38" s="26">
        <f t="shared" ref="L38" si="14">L30+L34</f>
        <v>0</v>
      </c>
      <c r="M38" s="26">
        <f t="shared" ref="M38" si="15">M30+M34</f>
        <v>0</v>
      </c>
      <c r="N38" s="38">
        <f>'Plant 1 A'!O9</f>
        <v>7037.2674999999999</v>
      </c>
      <c r="O38" s="280">
        <f>O30+O34</f>
        <v>10881.820000000002</v>
      </c>
      <c r="P38" s="280">
        <f>N38-O38</f>
        <v>-3844.5525000000016</v>
      </c>
      <c r="Q38" s="287">
        <f>P38/O38*100</f>
        <v>-35.330050487877955</v>
      </c>
      <c r="R38" s="46">
        <v>5035</v>
      </c>
    </row>
    <row r="39" spans="1:18">
      <c r="A39" s="25" t="s">
        <v>134</v>
      </c>
      <c r="B39" s="27">
        <f>B32+B36</f>
        <v>78090.26185499999</v>
      </c>
      <c r="C39" s="27">
        <f>C32+C36</f>
        <v>77778.830959999992</v>
      </c>
      <c r="D39" s="27">
        <f t="shared" ref="D39:G39" si="16">D32+D36</f>
        <v>104207.37023999999</v>
      </c>
      <c r="E39" s="27">
        <f>E32+E36</f>
        <v>95450.509040000004</v>
      </c>
      <c r="F39" s="27">
        <f t="shared" si="16"/>
        <v>130024.02819000001</v>
      </c>
      <c r="G39" s="27">
        <f t="shared" si="16"/>
        <v>99154.82508000001</v>
      </c>
      <c r="H39" s="27">
        <f>H32+H36</f>
        <v>113655.09929500001</v>
      </c>
      <c r="I39" s="27">
        <f t="shared" ref="I39:J39" si="17">I32+I36</f>
        <v>127631.53146</v>
      </c>
      <c r="J39" s="27">
        <f t="shared" si="17"/>
        <v>0</v>
      </c>
      <c r="K39" s="27">
        <f t="shared" ref="K39:L39" si="18">K32+K36</f>
        <v>0</v>
      </c>
      <c r="L39" s="27">
        <f t="shared" si="18"/>
        <v>0</v>
      </c>
      <c r="M39" s="27">
        <f t="shared" ref="M39" si="19">M32+M36</f>
        <v>0</v>
      </c>
      <c r="N39" s="39">
        <f>'Plant 1 A'!O13</f>
        <v>810968.46279999986</v>
      </c>
      <c r="O39" s="284">
        <f>O32+O36</f>
        <v>790962.07</v>
      </c>
      <c r="P39" s="280"/>
      <c r="Q39" s="281"/>
      <c r="R39" s="43">
        <v>485563.75</v>
      </c>
    </row>
    <row r="40" spans="1:18">
      <c r="A40" s="21"/>
      <c r="B40" s="23"/>
      <c r="C40" s="23"/>
      <c r="D40" s="23"/>
      <c r="E40" s="23"/>
      <c r="F40" s="23"/>
      <c r="G40" s="23"/>
      <c r="H40" s="23"/>
      <c r="I40" s="21"/>
      <c r="J40" s="21"/>
      <c r="K40" s="21"/>
      <c r="R40" s="47"/>
    </row>
    <row r="41" spans="1:18">
      <c r="A41" s="21"/>
      <c r="B41" s="23"/>
      <c r="C41" s="23"/>
      <c r="D41" s="23"/>
      <c r="E41" s="23"/>
      <c r="F41" s="23"/>
      <c r="G41" s="23"/>
      <c r="H41" s="23"/>
      <c r="I41" s="21"/>
      <c r="J41" s="21"/>
      <c r="K41" s="23"/>
    </row>
    <row r="42" spans="1:18">
      <c r="A42" s="21"/>
      <c r="B42" s="23"/>
      <c r="C42" s="23"/>
      <c r="D42" s="23"/>
      <c r="E42" s="23"/>
      <c r="F42" s="23"/>
      <c r="G42" s="23"/>
      <c r="H42" s="23"/>
      <c r="I42" s="21"/>
      <c r="J42" s="21"/>
      <c r="K42" s="21"/>
    </row>
    <row r="43" spans="1:18">
      <c r="A43" s="21"/>
      <c r="B43" s="23"/>
      <c r="C43" s="23"/>
      <c r="D43" s="23"/>
      <c r="E43" s="23"/>
      <c r="F43" s="23"/>
      <c r="G43" s="23"/>
      <c r="H43" s="23"/>
      <c r="I43" s="21"/>
      <c r="J43" s="21"/>
      <c r="K43" s="21"/>
    </row>
    <row r="44" spans="1:18">
      <c r="A44" s="21"/>
      <c r="B44" s="23"/>
      <c r="C44" s="23"/>
      <c r="D44" s="23"/>
      <c r="E44" s="23"/>
      <c r="F44" s="23"/>
      <c r="G44" s="23"/>
      <c r="H44" s="23"/>
      <c r="I44" s="21"/>
      <c r="J44" s="21"/>
      <c r="K44" s="21"/>
    </row>
    <row r="45" spans="1:18">
      <c r="A45" s="21"/>
      <c r="B45" s="23"/>
      <c r="C45" s="23"/>
      <c r="D45" s="23"/>
      <c r="E45" s="23"/>
      <c r="F45" s="23"/>
      <c r="G45" s="23"/>
      <c r="H45" s="23"/>
      <c r="I45" s="21"/>
      <c r="J45" s="21"/>
      <c r="K45" s="21"/>
    </row>
    <row r="46" spans="1:18">
      <c r="A46" s="21"/>
      <c r="B46" s="23"/>
      <c r="C46" s="23"/>
      <c r="D46" s="23"/>
      <c r="E46" s="23"/>
      <c r="F46" s="23"/>
      <c r="G46" s="23"/>
      <c r="H46" s="23"/>
      <c r="I46" s="21"/>
      <c r="J46" s="21"/>
      <c r="K46" s="21"/>
    </row>
    <row r="47" spans="1:18">
      <c r="A47" s="21"/>
      <c r="B47" s="23"/>
      <c r="C47" s="23"/>
      <c r="D47" s="23"/>
      <c r="E47" s="23"/>
      <c r="F47" s="23"/>
      <c r="G47" s="23"/>
      <c r="H47" s="23"/>
      <c r="I47" s="21"/>
      <c r="J47" s="21"/>
      <c r="K47" s="21"/>
    </row>
    <row r="48" spans="1:18">
      <c r="A48" s="21"/>
      <c r="B48" s="23"/>
      <c r="C48" s="23"/>
      <c r="D48" s="23"/>
      <c r="E48" s="23"/>
      <c r="F48" s="23"/>
      <c r="G48" s="23"/>
      <c r="H48" s="23"/>
      <c r="I48" s="21"/>
      <c r="J48" s="21"/>
      <c r="K48" s="21"/>
    </row>
    <row r="49" spans="1:18">
      <c r="A49" s="21"/>
      <c r="B49" s="23"/>
      <c r="C49" s="23"/>
      <c r="D49" s="23"/>
      <c r="E49" s="23"/>
      <c r="F49" s="23"/>
      <c r="G49" s="23"/>
      <c r="H49" s="23"/>
      <c r="I49" s="21"/>
      <c r="J49" s="21"/>
      <c r="K49" s="35" t="s">
        <v>135</v>
      </c>
      <c r="L49" t="s">
        <v>135</v>
      </c>
      <c r="M49" t="s">
        <v>135</v>
      </c>
      <c r="N49" s="35" t="s">
        <v>136</v>
      </c>
      <c r="O49" s="35" t="s">
        <v>135</v>
      </c>
      <c r="R49" s="48" t="s">
        <v>127</v>
      </c>
    </row>
    <row r="50" spans="1:18" ht="30">
      <c r="A50" s="15" t="s">
        <v>137</v>
      </c>
      <c r="B50" s="28" t="s">
        <v>111</v>
      </c>
      <c r="C50" s="28" t="s">
        <v>112</v>
      </c>
      <c r="D50" s="28" t="s">
        <v>113</v>
      </c>
      <c r="E50" s="28" t="s">
        <v>114</v>
      </c>
      <c r="F50" s="28" t="s">
        <v>115</v>
      </c>
      <c r="G50" s="28" t="s">
        <v>116</v>
      </c>
      <c r="H50" s="253" t="s">
        <v>117</v>
      </c>
      <c r="I50" s="40" t="s">
        <v>118</v>
      </c>
      <c r="J50" s="40" t="s">
        <v>119</v>
      </c>
      <c r="K50" s="40" t="s">
        <v>120</v>
      </c>
      <c r="L50" s="40" t="s">
        <v>121</v>
      </c>
      <c r="M50" s="40" t="s">
        <v>122</v>
      </c>
      <c r="N50" s="276" t="s">
        <v>158</v>
      </c>
      <c r="O50" s="278" t="s">
        <v>157</v>
      </c>
      <c r="P50" s="278" t="s">
        <v>129</v>
      </c>
      <c r="Q50" s="279" t="s">
        <v>93</v>
      </c>
      <c r="R50" s="49" t="s">
        <v>138</v>
      </c>
    </row>
    <row r="51" spans="1:18">
      <c r="A51" s="25" t="s">
        <v>139</v>
      </c>
      <c r="B51" s="26">
        <f>'Plant 2 A'!C5</f>
        <v>24.363</v>
      </c>
      <c r="C51" s="26">
        <f>'Plant 2 A'!D5</f>
        <v>15.273999999999999</v>
      </c>
      <c r="D51" s="26">
        <f>'Plant 2 A'!E5</f>
        <v>29.768000000000001</v>
      </c>
      <c r="E51" s="26">
        <f>'Plant 2 A'!F5</f>
        <v>31.402000000000001</v>
      </c>
      <c r="F51" s="26">
        <f>'Plant 2 A'!G5</f>
        <v>22.398</v>
      </c>
      <c r="G51" s="26">
        <f>'Plant 2 A'!H5</f>
        <v>23.071000000000002</v>
      </c>
      <c r="H51" s="26">
        <f>'Plant 2 A'!I5</f>
        <v>20.02</v>
      </c>
      <c r="I51" s="26">
        <f>'Plant 2 A'!J5</f>
        <v>23.792000000000002</v>
      </c>
      <c r="J51" s="26">
        <f>'Plant 2 A'!K5</f>
        <v>19.553999999999998</v>
      </c>
      <c r="K51" s="26">
        <f>'Plant 2 A'!L5</f>
        <v>0</v>
      </c>
      <c r="L51" s="26">
        <f>'Plant 2 A'!M5</f>
        <v>0</v>
      </c>
      <c r="M51" s="26">
        <f>'Plant 2 A'!N5</f>
        <v>0</v>
      </c>
      <c r="N51" s="38">
        <f>'Plant 2 A'!O5</f>
        <v>209.64200000000002</v>
      </c>
      <c r="O51" s="280">
        <v>510.84</v>
      </c>
      <c r="P51" s="281"/>
      <c r="Q51" s="281"/>
      <c r="R51" s="48">
        <v>495</v>
      </c>
    </row>
    <row r="52" spans="1:18">
      <c r="A52" s="25" t="s">
        <v>131</v>
      </c>
      <c r="B52" s="26">
        <f>'Plant 2 A'!C17</f>
        <v>11.023</v>
      </c>
      <c r="C52" s="26">
        <f>'Plant 2 A'!D17</f>
        <v>11.023</v>
      </c>
      <c r="D52" s="26">
        <f>'Plant 2 A'!E17</f>
        <v>11.023</v>
      </c>
      <c r="E52" s="26">
        <f>'Plant 2 A'!F17</f>
        <v>11.02</v>
      </c>
      <c r="F52" s="26">
        <f>'Plant 2 A'!G17</f>
        <v>11.02</v>
      </c>
      <c r="G52" s="26">
        <f>'Plant 2 A'!H17</f>
        <v>11.02</v>
      </c>
      <c r="H52" s="26">
        <f>'Plant 2 A'!I17</f>
        <v>11.02</v>
      </c>
      <c r="I52" s="26">
        <f>'Plant 2 A'!J17</f>
        <v>11.02</v>
      </c>
      <c r="J52" s="26">
        <f>'Plant 2 A'!K17</f>
        <v>0</v>
      </c>
      <c r="K52" s="26">
        <f>'Plant 2 A'!L17</f>
        <v>0</v>
      </c>
      <c r="L52" s="26">
        <f>'Plant 2 A'!M17</f>
        <v>0</v>
      </c>
      <c r="M52" s="26">
        <f>'Plant 2 A'!N17</f>
        <v>0</v>
      </c>
      <c r="N52" s="26"/>
      <c r="O52" s="282"/>
      <c r="P52" s="283"/>
      <c r="Q52" s="283"/>
      <c r="R52" s="48"/>
    </row>
    <row r="53" spans="1:18" s="12" customFormat="1">
      <c r="A53" s="29" t="s">
        <v>126</v>
      </c>
      <c r="B53" s="27">
        <f>B51*B52</f>
        <v>268.55334899999997</v>
      </c>
      <c r="C53" s="27">
        <f t="shared" ref="C53:H53" si="20">C51*C52</f>
        <v>168.36530199999999</v>
      </c>
      <c r="D53" s="27">
        <f t="shared" si="20"/>
        <v>328.13266399999998</v>
      </c>
      <c r="E53" s="27">
        <f t="shared" si="20"/>
        <v>346.05004000000002</v>
      </c>
      <c r="F53" s="27">
        <f t="shared" si="20"/>
        <v>246.82595999999998</v>
      </c>
      <c r="G53" s="27">
        <f t="shared" si="20"/>
        <v>254.24242000000001</v>
      </c>
      <c r="H53" s="27">
        <f t="shared" si="20"/>
        <v>220.62039999999999</v>
      </c>
      <c r="I53" s="27">
        <f t="shared" ref="I53:J53" si="21">I51*I52</f>
        <v>262.18783999999999</v>
      </c>
      <c r="J53" s="27">
        <f t="shared" si="21"/>
        <v>0</v>
      </c>
      <c r="K53" s="27">
        <f t="shared" ref="K53:L53" si="22">K51*K52</f>
        <v>0</v>
      </c>
      <c r="L53" s="27">
        <f t="shared" si="22"/>
        <v>0</v>
      </c>
      <c r="M53" s="27">
        <f t="shared" ref="M53" si="23">M51*M52</f>
        <v>0</v>
      </c>
      <c r="N53" s="39">
        <f>'Plant 2 A'!O9</f>
        <v>2094.9779749999998</v>
      </c>
      <c r="O53" s="284">
        <v>3229.23</v>
      </c>
      <c r="P53" s="284"/>
      <c r="Q53" s="284"/>
      <c r="R53" s="50">
        <v>4951.29</v>
      </c>
    </row>
    <row r="54" spans="1:18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85"/>
      <c r="P54" s="286"/>
      <c r="Q54" s="286"/>
      <c r="R54" s="48"/>
    </row>
    <row r="55" spans="1:18">
      <c r="A55" s="25" t="s">
        <v>140</v>
      </c>
      <c r="B55" s="26">
        <f>'Plant 2 A'!C6</f>
        <v>28.218</v>
      </c>
      <c r="C55" s="26">
        <f>'Plant 2 A'!D6</f>
        <v>39.155999999999999</v>
      </c>
      <c r="D55" s="26">
        <f>'Plant 2 A'!E6</f>
        <v>42.902999999999999</v>
      </c>
      <c r="E55" s="26">
        <f>'Plant 2 A'!F6</f>
        <v>59.238999999999997</v>
      </c>
      <c r="F55" s="26">
        <f>'Plant 2 A'!G6</f>
        <v>55.478999999999999</v>
      </c>
      <c r="G55" s="26">
        <f>'Plant 2 A'!H6</f>
        <v>32.017000000000003</v>
      </c>
      <c r="H55" s="26">
        <f>'Plant 2 A'!I6</f>
        <v>18.826000000000001</v>
      </c>
      <c r="I55" s="26">
        <f>'Plant 2 A'!J6</f>
        <v>37.371000000000002</v>
      </c>
      <c r="J55" s="26">
        <f>'Plant 2 A'!K6</f>
        <v>20.257999999999999</v>
      </c>
      <c r="K55" s="26">
        <f>'Plant 2 A'!L6</f>
        <v>0</v>
      </c>
      <c r="L55" s="26">
        <f>'Plant 2 A'!M6</f>
        <v>0</v>
      </c>
      <c r="M55" s="26">
        <f>'Plant 2 A'!N6</f>
        <v>0</v>
      </c>
      <c r="N55" s="38">
        <f>'Plant 2 A'!O6</f>
        <v>333.46699999999998</v>
      </c>
      <c r="O55" s="280">
        <v>775.34</v>
      </c>
      <c r="P55" s="281"/>
      <c r="Q55" s="281"/>
      <c r="R55" s="48">
        <v>252</v>
      </c>
    </row>
    <row r="56" spans="1:18">
      <c r="A56" s="25" t="s">
        <v>131</v>
      </c>
      <c r="B56" s="26">
        <f>'Plant 2 A'!C18</f>
        <v>170.86</v>
      </c>
      <c r="C56" s="26">
        <f>'Plant 2 A'!D18</f>
        <v>181.88</v>
      </c>
      <c r="D56" s="26">
        <f>'Plant 2 A'!E18</f>
        <v>192.9</v>
      </c>
      <c r="E56" s="26">
        <f>'Plant 2 A'!F18</f>
        <v>198.41</v>
      </c>
      <c r="F56" s="26">
        <f>'Plant 2 A'!G18</f>
        <v>198.41</v>
      </c>
      <c r="G56" s="26">
        <f>'Plant 2 A'!H18</f>
        <v>198.41</v>
      </c>
      <c r="H56" s="26">
        <f>'Plant 2 A'!I18</f>
        <v>209.44</v>
      </c>
      <c r="I56" s="26">
        <f>'Plant 2 A'!J18</f>
        <v>220.46</v>
      </c>
      <c r="J56" s="26">
        <f>'Plant 2 A'!K18</f>
        <v>0</v>
      </c>
      <c r="K56" s="26">
        <f>'Plant 2 A'!L18</f>
        <v>0</v>
      </c>
      <c r="L56" s="26">
        <f>'Plant 2 A'!M18</f>
        <v>0</v>
      </c>
      <c r="M56" s="26">
        <f>'Plant 2 A'!N18</f>
        <v>0</v>
      </c>
      <c r="N56" s="26"/>
      <c r="O56" s="282"/>
      <c r="P56" s="283"/>
      <c r="Q56" s="283"/>
      <c r="R56" s="48"/>
    </row>
    <row r="57" spans="1:18" s="12" customFormat="1">
      <c r="A57" s="29" t="s">
        <v>126</v>
      </c>
      <c r="B57" s="27">
        <f>B55*B56</f>
        <v>4821.3274800000008</v>
      </c>
      <c r="C57" s="27">
        <f t="shared" ref="C57:H57" si="24">C55*C56</f>
        <v>7121.6932799999995</v>
      </c>
      <c r="D57" s="27">
        <f t="shared" si="24"/>
        <v>8275.9886999999999</v>
      </c>
      <c r="E57" s="27">
        <f t="shared" si="24"/>
        <v>11753.609989999999</v>
      </c>
      <c r="F57" s="27">
        <f t="shared" si="24"/>
        <v>11007.588389999999</v>
      </c>
      <c r="G57" s="27">
        <f t="shared" si="24"/>
        <v>6352.4929700000002</v>
      </c>
      <c r="H57" s="27">
        <f t="shared" si="24"/>
        <v>3942.9174400000002</v>
      </c>
      <c r="I57" s="27">
        <f t="shared" ref="I57:J57" si="25">I55*I56</f>
        <v>8238.810660000001</v>
      </c>
      <c r="J57" s="27">
        <f t="shared" si="25"/>
        <v>0</v>
      </c>
      <c r="K57" s="27">
        <f t="shared" ref="K57:L57" si="26">K55*K56</f>
        <v>0</v>
      </c>
      <c r="L57" s="27">
        <f t="shared" si="26"/>
        <v>0</v>
      </c>
      <c r="M57" s="27">
        <f t="shared" ref="M57" si="27">M55*M56</f>
        <v>0</v>
      </c>
      <c r="N57" s="39">
        <f>'Plant 2 A'!O10</f>
        <v>61514.428909999995</v>
      </c>
      <c r="O57" s="284">
        <v>80770.16</v>
      </c>
      <c r="P57" s="284"/>
      <c r="Q57" s="284"/>
      <c r="R57" s="50">
        <v>33421.58</v>
      </c>
    </row>
    <row r="58" spans="1:18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85"/>
      <c r="P58" s="286"/>
      <c r="Q58" s="286"/>
      <c r="R58" s="48"/>
    </row>
    <row r="59" spans="1:18">
      <c r="A59" s="25" t="s">
        <v>141</v>
      </c>
      <c r="B59" s="26">
        <f>'Plant 2 A'!C7</f>
        <v>0</v>
      </c>
      <c r="C59" s="26">
        <f>'Plant 2 A'!D7</f>
        <v>0</v>
      </c>
      <c r="D59" s="26">
        <f>'Plant 2 A'!E7</f>
        <v>0</v>
      </c>
      <c r="E59" s="26">
        <f>'Plant 2 A'!F7</f>
        <v>0</v>
      </c>
      <c r="F59" s="26">
        <f>'Plant 2 A'!G7</f>
        <v>0</v>
      </c>
      <c r="G59" s="26">
        <f>'Plant 2 A'!H7</f>
        <v>0</v>
      </c>
      <c r="H59" s="26">
        <f>'Plant 2 A'!I7</f>
        <v>0</v>
      </c>
      <c r="I59" s="26">
        <f>'Plant 2 A'!J7</f>
        <v>0</v>
      </c>
      <c r="J59" s="26">
        <f>'Plant 2 A'!K7</f>
        <v>0</v>
      </c>
      <c r="K59" s="26">
        <f>'Plant 2 A'!L7</f>
        <v>0</v>
      </c>
      <c r="L59" s="26">
        <f>'Plant 2 A'!M7</f>
        <v>0</v>
      </c>
      <c r="M59" s="26">
        <f>'Plant 2 A'!N7</f>
        <v>0</v>
      </c>
      <c r="N59" s="38">
        <f>'Plant 2 A'!O7</f>
        <v>0</v>
      </c>
      <c r="O59" s="280">
        <v>73.69</v>
      </c>
      <c r="P59" s="281"/>
      <c r="Q59" s="281"/>
      <c r="R59" s="48">
        <v>151</v>
      </c>
    </row>
    <row r="60" spans="1:18">
      <c r="A60" s="25" t="s">
        <v>131</v>
      </c>
      <c r="B60" s="26">
        <f>'Plant 2 A'!C19</f>
        <v>0</v>
      </c>
      <c r="C60" s="26">
        <f>'Plant 2 A'!D19</f>
        <v>0</v>
      </c>
      <c r="D60" s="26">
        <f>'Plant 2 A'!E19</f>
        <v>0</v>
      </c>
      <c r="E60" s="26">
        <f>'Plant 2 A'!F19</f>
        <v>0</v>
      </c>
      <c r="F60" s="26">
        <f>'Plant 2 A'!G19</f>
        <v>0</v>
      </c>
      <c r="G60" s="26">
        <f>'Plant 2 A'!H19</f>
        <v>0</v>
      </c>
      <c r="H60" s="26">
        <f>'Plant 2 A'!I19</f>
        <v>0</v>
      </c>
      <c r="I60" s="26">
        <f>'Plant 2 A'!J19</f>
        <v>0</v>
      </c>
      <c r="J60" s="26">
        <f>'Plant 2 A'!K19</f>
        <v>0</v>
      </c>
      <c r="K60" s="26">
        <f>'Plant 2 A'!L19</f>
        <v>0</v>
      </c>
      <c r="L60" s="26">
        <f>'Plant 2 A'!M19</f>
        <v>0</v>
      </c>
      <c r="M60" s="26">
        <f>'Plant 2 A'!N19</f>
        <v>0</v>
      </c>
      <c r="N60" s="26"/>
      <c r="O60" s="282"/>
      <c r="P60" s="283"/>
      <c r="Q60" s="283"/>
      <c r="R60" s="48"/>
    </row>
    <row r="61" spans="1:18" s="12" customFormat="1">
      <c r="A61" s="29" t="s">
        <v>126</v>
      </c>
      <c r="B61" s="27">
        <f>B59*B60</f>
        <v>0</v>
      </c>
      <c r="C61" s="27">
        <f t="shared" ref="C61:H61" si="28">C59*C60</f>
        <v>0</v>
      </c>
      <c r="D61" s="27">
        <f t="shared" si="28"/>
        <v>0</v>
      </c>
      <c r="E61" s="27">
        <f t="shared" si="28"/>
        <v>0</v>
      </c>
      <c r="F61" s="27">
        <f t="shared" si="28"/>
        <v>0</v>
      </c>
      <c r="G61" s="27">
        <f t="shared" si="28"/>
        <v>0</v>
      </c>
      <c r="H61" s="27">
        <f t="shared" si="28"/>
        <v>0</v>
      </c>
      <c r="I61" s="27">
        <f t="shared" ref="I61:J61" si="29">I59*I60</f>
        <v>0</v>
      </c>
      <c r="J61" s="27">
        <f t="shared" si="29"/>
        <v>0</v>
      </c>
      <c r="K61" s="27">
        <f t="shared" ref="K61:L61" si="30">K59*K60</f>
        <v>0</v>
      </c>
      <c r="L61" s="27">
        <f t="shared" si="30"/>
        <v>0</v>
      </c>
      <c r="M61" s="27">
        <f t="shared" ref="M61" si="31">M59*M60</f>
        <v>0</v>
      </c>
      <c r="N61" s="39">
        <f>'Plant 2 A'!O11</f>
        <v>0</v>
      </c>
      <c r="O61" s="284">
        <v>2633.48</v>
      </c>
      <c r="P61" s="284"/>
      <c r="Q61" s="284"/>
      <c r="R61" s="50">
        <v>14437.95</v>
      </c>
    </row>
    <row r="62" spans="1:18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85"/>
      <c r="P62" s="286"/>
      <c r="Q62" s="286"/>
      <c r="R62" s="48"/>
    </row>
    <row r="63" spans="1:18">
      <c r="A63" s="25" t="s">
        <v>142</v>
      </c>
      <c r="B63" s="26">
        <f>'Plant 2 A'!C8</f>
        <v>52.581000000000003</v>
      </c>
      <c r="C63" s="26">
        <f>'Plant 2 A'!D8</f>
        <v>54.43</v>
      </c>
      <c r="D63" s="26">
        <f>'Plant 2 A'!E8</f>
        <v>72.670999999999992</v>
      </c>
      <c r="E63" s="26">
        <f>'Plant 2 A'!F8</f>
        <v>90.640999999999991</v>
      </c>
      <c r="F63" s="26">
        <f>'Plant 2 A'!G8</f>
        <v>77.876999999999995</v>
      </c>
      <c r="G63" s="26">
        <f>'Plant 2 A'!H8</f>
        <v>55.088000000000008</v>
      </c>
      <c r="H63" s="26">
        <f>H51+H55</f>
        <v>38.846000000000004</v>
      </c>
      <c r="I63" s="26">
        <f>'Plant 2 A'!J8</f>
        <v>61.163000000000004</v>
      </c>
      <c r="J63" s="26">
        <f>'Plant 2 A'!K8</f>
        <v>39.811999999999998</v>
      </c>
      <c r="K63" s="26">
        <f>'Plant 2 A'!L8</f>
        <v>0</v>
      </c>
      <c r="L63" s="26">
        <f>'Plant 2 A'!M8</f>
        <v>0</v>
      </c>
      <c r="M63" s="26">
        <f>'Plant 2 A'!N8</f>
        <v>0</v>
      </c>
      <c r="N63" s="38">
        <f>'Plant 2 A'!O8</f>
        <v>543.10900000000004</v>
      </c>
      <c r="O63" s="280">
        <f>O51+O55+O59</f>
        <v>1359.8700000000001</v>
      </c>
      <c r="P63" s="288">
        <f>N63-O63</f>
        <v>-816.76100000000008</v>
      </c>
      <c r="Q63" s="289">
        <f>P63/O63*100</f>
        <v>-60.061697073985009</v>
      </c>
      <c r="R63" s="48">
        <v>898</v>
      </c>
    </row>
    <row r="64" spans="1:18" s="12" customFormat="1">
      <c r="A64" s="29" t="s">
        <v>134</v>
      </c>
      <c r="B64" s="27">
        <f>'Plant 2 A'!C12</f>
        <v>5089.8808290000006</v>
      </c>
      <c r="C64" s="27">
        <f>'Plant 2 A'!D12</f>
        <v>7290.0585819999997</v>
      </c>
      <c r="D64" s="27">
        <f>'Plant 2 A'!E12</f>
        <v>8604.1213640000005</v>
      </c>
      <c r="E64" s="27">
        <f>'Plant 2 A'!F12</f>
        <v>12099.660029999999</v>
      </c>
      <c r="F64" s="27">
        <f>'Plant 2 A'!G12</f>
        <v>11254.414349999999</v>
      </c>
      <c r="G64" s="27">
        <f>'Plant 2 A'!H12</f>
        <v>6606.7353899999998</v>
      </c>
      <c r="H64" s="27">
        <f>SUM(H57+H53)</f>
        <v>4163.53784</v>
      </c>
      <c r="I64" s="27">
        <f>'Plant 2 A'!J12</f>
        <v>8500.9985000000015</v>
      </c>
      <c r="J64" s="27">
        <f>'Plant 2 A'!K12</f>
        <v>0</v>
      </c>
      <c r="K64" s="27">
        <f>'Plant 2 A'!L12</f>
        <v>0</v>
      </c>
      <c r="L64" s="27">
        <f>'Plant 2 A'!M12</f>
        <v>0</v>
      </c>
      <c r="M64" s="27">
        <f>'Plant 2 A'!N12</f>
        <v>0</v>
      </c>
      <c r="N64" s="39">
        <f>'Plant 2 A'!O12</f>
        <v>63609.406884999997</v>
      </c>
      <c r="O64" s="284">
        <f>O53+O57+O61</f>
        <v>86632.87</v>
      </c>
      <c r="P64" s="284"/>
      <c r="Q64" s="284"/>
      <c r="R64" s="50">
        <v>52810.82</v>
      </c>
    </row>
    <row r="65" spans="1:18">
      <c r="A65" s="21"/>
      <c r="B65" s="23"/>
      <c r="C65" s="23"/>
      <c r="D65" s="23"/>
      <c r="E65" s="23"/>
      <c r="F65" s="23"/>
      <c r="G65" s="23"/>
      <c r="H65" s="23"/>
      <c r="I65" s="21"/>
      <c r="J65" s="21"/>
      <c r="K65" s="21"/>
      <c r="R65" s="47"/>
    </row>
    <row r="66" spans="1:18">
      <c r="A66" s="21"/>
      <c r="B66" s="23"/>
      <c r="C66" s="23"/>
      <c r="D66" s="23"/>
      <c r="E66" s="23"/>
      <c r="F66" s="23"/>
      <c r="G66" s="23"/>
      <c r="H66" s="23"/>
      <c r="I66" s="21"/>
      <c r="J66" s="21"/>
      <c r="K66" s="21"/>
    </row>
    <row r="67" spans="1:18">
      <c r="A67" s="21"/>
      <c r="B67" s="23"/>
      <c r="C67" s="23"/>
      <c r="D67" s="23"/>
      <c r="E67" s="23"/>
      <c r="F67" s="23"/>
      <c r="G67" s="23"/>
      <c r="H67" s="23"/>
      <c r="I67" s="21"/>
      <c r="J67" s="21"/>
      <c r="K67" s="23"/>
    </row>
    <row r="68" spans="1:18">
      <c r="A68" s="21"/>
      <c r="B68" s="23"/>
      <c r="C68" s="23"/>
      <c r="D68" s="23"/>
      <c r="E68" s="23"/>
      <c r="F68" s="23"/>
      <c r="G68" s="23"/>
      <c r="H68" s="23"/>
      <c r="I68" s="21"/>
      <c r="J68" s="21"/>
      <c r="K68" s="21"/>
    </row>
    <row r="69" spans="1:18">
      <c r="A69" s="21"/>
      <c r="B69" s="23"/>
      <c r="C69" s="23"/>
      <c r="D69" s="23"/>
      <c r="E69" s="23"/>
      <c r="F69" s="23"/>
      <c r="G69" s="23"/>
      <c r="H69" s="23"/>
      <c r="I69" s="21"/>
      <c r="J69" s="21"/>
      <c r="K69" s="21"/>
    </row>
    <row r="70" spans="1:18">
      <c r="A70" s="21"/>
      <c r="B70" s="23"/>
      <c r="C70" s="23"/>
      <c r="D70" s="23"/>
      <c r="E70" s="23"/>
      <c r="F70" s="23"/>
      <c r="G70" s="23"/>
      <c r="H70" s="23"/>
      <c r="I70" s="21"/>
      <c r="J70" s="21"/>
      <c r="K70" s="21"/>
    </row>
    <row r="71" spans="1:18">
      <c r="A71" s="21"/>
      <c r="B71" s="23"/>
      <c r="C71" s="23"/>
      <c r="D71" s="23"/>
      <c r="E71" s="23"/>
      <c r="F71" s="23"/>
      <c r="G71" s="23"/>
      <c r="H71" s="23"/>
      <c r="I71" s="21"/>
      <c r="J71" s="21"/>
      <c r="K71" s="21"/>
    </row>
    <row r="72" spans="1:18">
      <c r="A72" s="21"/>
      <c r="B72" s="23"/>
      <c r="C72" s="23"/>
      <c r="D72" s="23"/>
      <c r="E72" s="23"/>
      <c r="F72" s="23"/>
      <c r="G72" s="23"/>
      <c r="H72" s="23"/>
      <c r="I72" s="21"/>
      <c r="J72" s="21"/>
      <c r="K72" s="21"/>
    </row>
    <row r="73" spans="1:18">
      <c r="A73" s="21"/>
      <c r="B73" s="23"/>
      <c r="C73" s="23"/>
      <c r="D73" s="23"/>
      <c r="E73" s="23"/>
      <c r="F73" s="23"/>
      <c r="G73" s="23"/>
      <c r="H73" s="23"/>
      <c r="I73" s="21"/>
      <c r="J73" s="21"/>
      <c r="K73" s="21"/>
    </row>
    <row r="74" spans="1:18">
      <c r="A74" s="21"/>
      <c r="B74" s="23"/>
      <c r="C74" s="23"/>
      <c r="D74" s="23"/>
      <c r="E74" s="23"/>
      <c r="F74" s="23"/>
      <c r="G74" s="23"/>
      <c r="H74" s="23"/>
      <c r="I74" s="21"/>
      <c r="J74" s="21"/>
      <c r="K74" s="21"/>
    </row>
    <row r="75" spans="1:18">
      <c r="A75" s="21"/>
      <c r="B75" s="23"/>
      <c r="C75" s="23"/>
      <c r="D75" s="23"/>
      <c r="E75" s="23"/>
      <c r="F75" s="23"/>
      <c r="G75" s="23"/>
      <c r="H75" s="23"/>
      <c r="I75" s="21"/>
      <c r="J75" s="21"/>
      <c r="K75" s="21"/>
    </row>
    <row r="76" spans="1:18">
      <c r="A76" s="21"/>
      <c r="B76" s="23"/>
      <c r="C76" s="23"/>
      <c r="D76" s="23"/>
      <c r="E76" s="23"/>
      <c r="F76" s="23"/>
      <c r="G76" s="23"/>
      <c r="H76" s="23"/>
      <c r="I76" s="21"/>
      <c r="J76" s="21"/>
      <c r="K76" s="35" t="s">
        <v>135</v>
      </c>
      <c r="L76" t="s">
        <v>135</v>
      </c>
      <c r="M76" t="s">
        <v>135</v>
      </c>
      <c r="N76" s="35" t="s">
        <v>136</v>
      </c>
      <c r="O76" s="35" t="s">
        <v>135</v>
      </c>
      <c r="P76" s="292" t="s">
        <v>159</v>
      </c>
      <c r="R76" s="48" t="s">
        <v>127</v>
      </c>
    </row>
    <row r="77" spans="1:18" ht="30">
      <c r="A77" s="15" t="s">
        <v>180</v>
      </c>
      <c r="B77" s="28" t="s">
        <v>111</v>
      </c>
      <c r="C77" s="28" t="s">
        <v>112</v>
      </c>
      <c r="D77" s="28" t="s">
        <v>113</v>
      </c>
      <c r="E77" s="28" t="s">
        <v>114</v>
      </c>
      <c r="F77" s="28" t="s">
        <v>115</v>
      </c>
      <c r="G77" s="28" t="s">
        <v>116</v>
      </c>
      <c r="H77" s="253" t="s">
        <v>117</v>
      </c>
      <c r="I77" s="28" t="s">
        <v>143</v>
      </c>
      <c r="J77" s="28" t="s">
        <v>119</v>
      </c>
      <c r="K77" s="40" t="s">
        <v>120</v>
      </c>
      <c r="L77" s="40" t="s">
        <v>121</v>
      </c>
      <c r="M77" s="40" t="s">
        <v>122</v>
      </c>
      <c r="N77" s="276" t="s">
        <v>158</v>
      </c>
      <c r="O77" s="278" t="s">
        <v>157</v>
      </c>
      <c r="P77" s="278" t="s">
        <v>129</v>
      </c>
      <c r="Q77" s="279" t="s">
        <v>93</v>
      </c>
      <c r="R77" s="48" t="s">
        <v>144</v>
      </c>
    </row>
    <row r="78" spans="1:18">
      <c r="A78" s="25" t="s">
        <v>25</v>
      </c>
      <c r="B78" s="26">
        <f>'PLANT 3'!AP12/1000</f>
        <v>100.699</v>
      </c>
      <c r="C78" s="26">
        <f>'Plant 3 A'!D5</f>
        <v>83.911000000000001</v>
      </c>
      <c r="D78" s="26">
        <f>'Plant 3 A'!E5</f>
        <v>108.113</v>
      </c>
      <c r="E78" s="26">
        <f>'Plant 3 A'!F5</f>
        <v>135.417</v>
      </c>
      <c r="F78" s="26">
        <f>'Plant 3 A'!G5</f>
        <v>127.259</v>
      </c>
      <c r="G78" s="26">
        <f>'Plant 3 A'!H5</f>
        <v>109.04600000000001</v>
      </c>
      <c r="H78" s="26">
        <f>'Plant 3 A'!I5</f>
        <v>101.354</v>
      </c>
      <c r="I78" s="26">
        <f>'Plant 3 A'!J5</f>
        <v>141.953</v>
      </c>
      <c r="J78" s="26">
        <f>'Plant 3 A'!K5</f>
        <v>86.58</v>
      </c>
      <c r="K78" s="26">
        <f>'Plant 3 A'!L5</f>
        <v>0</v>
      </c>
      <c r="L78" s="26">
        <f>'Plant 3 A'!M5</f>
        <v>0</v>
      </c>
      <c r="M78" s="26">
        <f>'Plant 3 A'!N5</f>
        <v>0</v>
      </c>
      <c r="N78" s="38">
        <f>'Plant 3 A'!O5</f>
        <v>1036.0230000000001</v>
      </c>
      <c r="O78" s="280">
        <v>4133.34</v>
      </c>
      <c r="P78" s="280"/>
      <c r="Q78" s="281"/>
      <c r="R78" s="48">
        <v>1758</v>
      </c>
    </row>
    <row r="79" spans="1:18">
      <c r="A79" s="25" t="s">
        <v>131</v>
      </c>
      <c r="B79" s="26">
        <f>'Plant 3 A'!C17</f>
        <v>126.76</v>
      </c>
      <c r="C79" s="26">
        <f>'Plant 3 A'!D17</f>
        <v>115.74</v>
      </c>
      <c r="D79" s="26">
        <f>'Plant 3 A'!E17</f>
        <v>121.25</v>
      </c>
      <c r="E79" s="26">
        <f>'Plant 3 A'!F17</f>
        <v>115.74</v>
      </c>
      <c r="F79" s="26">
        <f>'Plant 3 A'!G17</f>
        <v>137.79</v>
      </c>
      <c r="G79" s="26">
        <f>'Plant 3 A'!H17</f>
        <v>143.30000000000001</v>
      </c>
      <c r="H79" s="26">
        <f>'Plant 3 A'!I17</f>
        <v>154.32</v>
      </c>
      <c r="I79" s="26">
        <f>'Plant 3 A'!J17</f>
        <v>137.79</v>
      </c>
      <c r="J79" s="26">
        <f>'Plant 3 A'!K17</f>
        <v>0</v>
      </c>
      <c r="K79" s="26">
        <f>'Plant 3 A'!L17</f>
        <v>0</v>
      </c>
      <c r="L79" s="26">
        <f>'Plant 3 A'!M17</f>
        <v>0</v>
      </c>
      <c r="M79" s="26">
        <f>'Plant 3 A'!N17</f>
        <v>0</v>
      </c>
      <c r="N79" s="26"/>
      <c r="O79" s="282"/>
      <c r="P79" s="282"/>
      <c r="Q79" s="283"/>
      <c r="R79" s="48"/>
    </row>
    <row r="80" spans="1:18" s="12" customFormat="1">
      <c r="A80" s="29" t="s">
        <v>126</v>
      </c>
      <c r="B80" s="27">
        <f>B78*B79</f>
        <v>12764.605240000001</v>
      </c>
      <c r="C80" s="27">
        <f t="shared" ref="C80:H80" si="32">C78*C79</f>
        <v>9711.8591400000005</v>
      </c>
      <c r="D80" s="27">
        <f t="shared" si="32"/>
        <v>13108.70125</v>
      </c>
      <c r="E80" s="27">
        <f t="shared" si="32"/>
        <v>15673.16358</v>
      </c>
      <c r="F80" s="27">
        <f t="shared" si="32"/>
        <v>17535.017609999999</v>
      </c>
      <c r="G80" s="27">
        <f t="shared" si="32"/>
        <v>15626.291800000003</v>
      </c>
      <c r="H80" s="27">
        <f t="shared" si="32"/>
        <v>15640.949279999999</v>
      </c>
      <c r="I80" s="27">
        <f t="shared" ref="I80:J80" si="33">I78*I79</f>
        <v>19559.703869999998</v>
      </c>
      <c r="J80" s="27">
        <f t="shared" si="33"/>
        <v>0</v>
      </c>
      <c r="K80" s="27">
        <f t="shared" ref="K80:L80" si="34">K78*K79</f>
        <v>0</v>
      </c>
      <c r="L80" s="27">
        <f t="shared" si="34"/>
        <v>0</v>
      </c>
      <c r="M80" s="27">
        <f t="shared" ref="M80" si="35">M78*M79</f>
        <v>0</v>
      </c>
      <c r="N80" s="39">
        <f>'Plant 3 A'!O11</f>
        <v>124905.04293000001</v>
      </c>
      <c r="O80" s="284">
        <v>346824.97</v>
      </c>
      <c r="P80" s="284"/>
      <c r="Q80" s="284"/>
      <c r="R80" s="50">
        <v>161523.16</v>
      </c>
    </row>
    <row r="81" spans="1:18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85"/>
      <c r="P81" s="285"/>
      <c r="Q81" s="286"/>
      <c r="R81" s="48"/>
    </row>
    <row r="82" spans="1:18">
      <c r="A82" s="25" t="s">
        <v>132</v>
      </c>
      <c r="B82" s="26">
        <f>'PLANT 3'!AP11/1000</f>
        <v>142.38999999999999</v>
      </c>
      <c r="C82" s="26">
        <f>'Plant 3 A'!D7</f>
        <v>119.401</v>
      </c>
      <c r="D82" s="26">
        <f>'Plant 3 A'!E7</f>
        <v>176.53299999999999</v>
      </c>
      <c r="E82" s="26">
        <f>'Plant 3 A'!F7</f>
        <v>192.99299999999999</v>
      </c>
      <c r="F82" s="26">
        <f>'Plant 3 A'!G7</f>
        <v>161.00800000000001</v>
      </c>
      <c r="G82" s="26">
        <f>'Plant 3 A'!H7</f>
        <v>155.45699999999999</v>
      </c>
      <c r="H82" s="26">
        <f>'Plant 3 A'!I7</f>
        <v>144.4265</v>
      </c>
      <c r="I82" s="26">
        <f>'Plant 3 A'!J7</f>
        <v>110.46599999999999</v>
      </c>
      <c r="J82" s="26">
        <f>'Plant 3 A'!K7</f>
        <v>59.636000000000003</v>
      </c>
      <c r="K82" s="26">
        <f>'Plant 3 A'!L7</f>
        <v>0</v>
      </c>
      <c r="L82" s="26">
        <f>'Plant 3 A'!M7</f>
        <v>0</v>
      </c>
      <c r="M82" s="26">
        <f>'Plant 3 A'!N7</f>
        <v>0</v>
      </c>
      <c r="N82" s="38">
        <f>'Plant 3 A'!O7</f>
        <v>1220.6194999999998</v>
      </c>
      <c r="O82" s="280">
        <v>1971.23</v>
      </c>
      <c r="P82" s="280"/>
      <c r="Q82" s="281"/>
      <c r="R82" s="48">
        <v>1270</v>
      </c>
    </row>
    <row r="83" spans="1:18">
      <c r="A83" s="25" t="s">
        <v>131</v>
      </c>
      <c r="B83" s="26">
        <f>'Plant 3 A'!C20</f>
        <v>100.29</v>
      </c>
      <c r="C83" s="26">
        <f>'Plant 3 A'!D20</f>
        <v>87.11</v>
      </c>
      <c r="D83" s="26">
        <f>'Plant 3 A'!E20</f>
        <v>95.81</v>
      </c>
      <c r="E83" s="26">
        <f>'Plant 3 A'!F20</f>
        <v>87.5</v>
      </c>
      <c r="F83" s="26">
        <f>'Plant 3 A'!G20</f>
        <v>112.38</v>
      </c>
      <c r="G83" s="26">
        <f>'Plant 3 A'!H20</f>
        <v>115.37</v>
      </c>
      <c r="H83" s="26">
        <f>'Plant 3 A'!I20</f>
        <v>132.49</v>
      </c>
      <c r="I83" s="26">
        <f>'Plant 3 A'!J20</f>
        <v>107.43</v>
      </c>
      <c r="J83" s="26">
        <f>'Plant 3 A'!K20</f>
        <v>0</v>
      </c>
      <c r="K83" s="26">
        <f>'Plant 3 A'!L20</f>
        <v>0</v>
      </c>
      <c r="L83" s="26">
        <f>'Plant 3 A'!M20</f>
        <v>0</v>
      </c>
      <c r="M83" s="26">
        <f>'Plant 3 A'!N20</f>
        <v>0</v>
      </c>
      <c r="N83" s="26"/>
      <c r="O83" s="282"/>
      <c r="P83" s="282"/>
      <c r="Q83" s="283"/>
      <c r="R83" s="48"/>
    </row>
    <row r="84" spans="1:18" s="12" customFormat="1">
      <c r="A84" s="29" t="s">
        <v>126</v>
      </c>
      <c r="B84" s="27">
        <f>B82*B83</f>
        <v>14280.293099999999</v>
      </c>
      <c r="C84" s="27">
        <f t="shared" ref="C84:H84" si="36">C82*C83</f>
        <v>10401.02111</v>
      </c>
      <c r="D84" s="27">
        <f t="shared" si="36"/>
        <v>16913.62673</v>
      </c>
      <c r="E84" s="27">
        <f t="shared" si="36"/>
        <v>16886.887500000001</v>
      </c>
      <c r="F84" s="27">
        <f t="shared" si="36"/>
        <v>18094.079040000001</v>
      </c>
      <c r="G84" s="27">
        <f t="shared" si="36"/>
        <v>17935.074089999998</v>
      </c>
      <c r="H84" s="27">
        <f t="shared" si="36"/>
        <v>19135.066985000001</v>
      </c>
      <c r="I84" s="27">
        <f t="shared" ref="I84:J84" si="37">I82*I83</f>
        <v>11867.36238</v>
      </c>
      <c r="J84" s="27">
        <f t="shared" si="37"/>
        <v>0</v>
      </c>
      <c r="K84" s="27">
        <f t="shared" ref="K84:L84" si="38">K82*K83</f>
        <v>0</v>
      </c>
      <c r="L84" s="27">
        <f t="shared" si="38"/>
        <v>0</v>
      </c>
      <c r="M84" s="27">
        <f t="shared" ref="M84" si="39">M82*M83</f>
        <v>0</v>
      </c>
      <c r="N84" s="39">
        <f>'Plant 3 A'!O12</f>
        <v>121332.22054499999</v>
      </c>
      <c r="O84" s="284">
        <v>71361.97</v>
      </c>
      <c r="P84" s="284"/>
      <c r="Q84" s="284"/>
      <c r="R84" s="50">
        <v>88319.4</v>
      </c>
    </row>
    <row r="85" spans="1:18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85"/>
      <c r="P85" s="285"/>
      <c r="Q85" s="286"/>
      <c r="R85" s="48"/>
    </row>
    <row r="86" spans="1:18">
      <c r="A86" s="25" t="s">
        <v>181</v>
      </c>
      <c r="B86" s="26">
        <f>'Plant 3 A'!C9</f>
        <v>243.089</v>
      </c>
      <c r="C86" s="26">
        <f>'Plant 3 A'!D9</f>
        <v>203.31200000000001</v>
      </c>
      <c r="D86" s="26">
        <f>'Plant 3 A'!E9</f>
        <v>284.64599999999996</v>
      </c>
      <c r="E86" s="26">
        <f>'Plant 3 A'!F9</f>
        <v>328.40999999999997</v>
      </c>
      <c r="F86" s="26">
        <f>'Plant 3 A'!G9</f>
        <v>288.267</v>
      </c>
      <c r="G86" s="26">
        <f>'Plant 3 A'!H9</f>
        <v>264.50299999999999</v>
      </c>
      <c r="H86" s="26">
        <f>'Plant 3 A'!I9</f>
        <v>245.78050000000002</v>
      </c>
      <c r="I86" s="26">
        <f>'Plant 3 A'!J9</f>
        <v>252.41899999999998</v>
      </c>
      <c r="J86" s="26">
        <f>'Plant 3 A'!K9</f>
        <v>146.21600000000001</v>
      </c>
      <c r="K86" s="26">
        <f>'Plant 3 A'!L9</f>
        <v>0</v>
      </c>
      <c r="L86" s="26">
        <f>'Plant 3 A'!M9</f>
        <v>0</v>
      </c>
      <c r="M86" s="26">
        <f>'Plant 3 A'!N9</f>
        <v>0</v>
      </c>
      <c r="N86" s="38">
        <f>'Plant 3 A'!O9</f>
        <v>2256.6424999999999</v>
      </c>
      <c r="O86" s="280">
        <f>O78+O82</f>
        <v>6104.57</v>
      </c>
      <c r="P86" s="280">
        <f>N86-O86</f>
        <v>-3847.9274999999998</v>
      </c>
      <c r="Q86" s="290">
        <f>P86/O86*100</f>
        <v>-63.033555188981374</v>
      </c>
      <c r="R86" s="48">
        <v>3028</v>
      </c>
    </row>
    <row r="87" spans="1:18" s="12" customFormat="1">
      <c r="A87" s="29" t="s">
        <v>134</v>
      </c>
      <c r="B87" s="27">
        <f>SUM(B84+B80)</f>
        <v>27044.89834</v>
      </c>
      <c r="C87" s="27">
        <f>'Plant 3 A'!D13</f>
        <v>20112.880250000002</v>
      </c>
      <c r="D87" s="27">
        <f>'Plant 3 A'!E13</f>
        <v>30022.327980000002</v>
      </c>
      <c r="E87" s="27">
        <f>'Plant 3 A'!F13</f>
        <v>32560.051080000001</v>
      </c>
      <c r="F87" s="27">
        <f>'Plant 3 A'!G13</f>
        <v>35629.096649999999</v>
      </c>
      <c r="G87" s="27">
        <f>'Plant 3 A'!H13</f>
        <v>33561.365890000001</v>
      </c>
      <c r="H87" s="27">
        <f>SUM(H80+H84)</f>
        <v>34776.016264999998</v>
      </c>
      <c r="I87" s="27">
        <f>'Plant 3 A'!J13</f>
        <v>31427.066249999996</v>
      </c>
      <c r="J87" s="27">
        <f>'Plant 3 A'!K13</f>
        <v>0</v>
      </c>
      <c r="K87" s="27">
        <f>'Plant 3 A'!L13</f>
        <v>0</v>
      </c>
      <c r="L87" s="27">
        <f>'Plant 3 A'!M13</f>
        <v>0</v>
      </c>
      <c r="M87" s="27">
        <f>'Plant 3 A'!N13</f>
        <v>0</v>
      </c>
      <c r="N87" s="39">
        <f>'Plant 3 A'!O13</f>
        <v>246237.26347499999</v>
      </c>
      <c r="O87" s="284">
        <f>O80+O84</f>
        <v>418186.93999999994</v>
      </c>
      <c r="P87" s="284"/>
      <c r="Q87" s="284"/>
      <c r="R87" s="50">
        <v>249842.56</v>
      </c>
    </row>
    <row r="88" spans="1:18">
      <c r="A88" s="21"/>
      <c r="B88" s="23"/>
      <c r="C88" s="23"/>
      <c r="D88" s="23"/>
      <c r="E88" s="23"/>
      <c r="F88" s="23"/>
      <c r="G88" s="23"/>
      <c r="H88" s="23"/>
      <c r="I88" s="21"/>
      <c r="J88" s="21"/>
      <c r="K88" s="21"/>
    </row>
    <row r="89" spans="1:18">
      <c r="A89" s="21"/>
      <c r="B89" s="23"/>
      <c r="C89" s="23"/>
      <c r="D89" s="23"/>
      <c r="E89" s="23"/>
      <c r="F89" s="23"/>
      <c r="G89" s="23"/>
      <c r="H89" s="23"/>
      <c r="I89" s="21"/>
      <c r="J89" s="21"/>
      <c r="K89" s="21"/>
    </row>
    <row r="90" spans="1:18">
      <c r="K90" s="34"/>
    </row>
  </sheetData>
  <sheetProtection selectLockedCells="1" selectUnlockedCells="1"/>
  <mergeCells count="1">
    <mergeCell ref="A1:G1"/>
  </mergeCells>
  <pageMargins left="0.7" right="0.7" top="0.75" bottom="0.75" header="0.3" footer="0.3"/>
  <pageSetup scale="5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M89"/>
  <sheetViews>
    <sheetView topLeftCell="A3" zoomScale="90" zoomScaleNormal="90" workbookViewId="0">
      <selection activeCell="E25" sqref="E25"/>
    </sheetView>
  </sheetViews>
  <sheetFormatPr defaultColWidth="9.140625" defaultRowHeight="15"/>
  <cols>
    <col min="1" max="1" width="18.7109375" customWidth="1"/>
    <col min="2" max="2" width="14.28515625" customWidth="1"/>
    <col min="3" max="3" width="14.5703125" customWidth="1"/>
    <col min="4" max="4" width="16" customWidth="1"/>
    <col min="5" max="5" width="15.7109375" customWidth="1"/>
    <col min="6" max="7" width="15.42578125" customWidth="1"/>
    <col min="8" max="8" width="15.85546875" customWidth="1"/>
    <col min="9" max="9" width="17" customWidth="1"/>
    <col min="10" max="10" width="17.42578125" customWidth="1"/>
    <col min="11" max="11" width="15.5703125" customWidth="1"/>
    <col min="12" max="12" width="11.140625" customWidth="1"/>
    <col min="13" max="13" width="18.28515625" customWidth="1"/>
  </cols>
  <sheetData>
    <row r="1" spans="1:12" ht="21">
      <c r="A1" s="354" t="s">
        <v>165</v>
      </c>
      <c r="B1" s="354"/>
      <c r="C1" s="354"/>
      <c r="D1" s="354"/>
      <c r="E1" s="354"/>
      <c r="F1" s="354"/>
      <c r="G1" s="354"/>
      <c r="H1" s="14"/>
    </row>
    <row r="2" spans="1:12" ht="21">
      <c r="A2" s="13"/>
      <c r="B2" s="14"/>
      <c r="C2" s="14"/>
      <c r="D2" s="14"/>
      <c r="E2" s="14"/>
      <c r="F2" s="14"/>
      <c r="G2" s="14"/>
      <c r="H2" s="14"/>
    </row>
    <row r="3" spans="1:12" ht="15.75">
      <c r="A3" s="268">
        <v>2020</v>
      </c>
      <c r="B3" s="269">
        <f>'Graphics Scrap'!C78</f>
        <v>1071</v>
      </c>
      <c r="C3" s="269">
        <f>'Graphics Scrap'!D78</f>
        <v>1144</v>
      </c>
      <c r="D3" s="269">
        <f>'Graphics Scrap'!E78</f>
        <v>1339</v>
      </c>
      <c r="E3" s="269">
        <f>'Graphics Scrap'!F78</f>
        <v>1118</v>
      </c>
      <c r="F3" s="269">
        <f>'Graphics Scrap'!G78</f>
        <v>1031</v>
      </c>
      <c r="G3" s="269">
        <f>'Graphics Scrap'!H78</f>
        <v>1523</v>
      </c>
      <c r="H3" s="269">
        <f>'Graphics Scrap'!I78</f>
        <v>1901</v>
      </c>
      <c r="I3" s="293">
        <f>SUM(B3:H3)</f>
        <v>9127</v>
      </c>
    </row>
    <row r="4" spans="1:12" ht="15.75">
      <c r="A4" s="268">
        <v>2021</v>
      </c>
      <c r="B4" s="269">
        <f>'Graphics Scrap'!C77</f>
        <v>1022.1049999999999</v>
      </c>
      <c r="C4" s="269">
        <f>'Graphics Scrap'!D77</f>
        <v>1039.2318</v>
      </c>
      <c r="D4" s="269">
        <f>'Graphics Scrap'!E77</f>
        <v>1260.2484999999999</v>
      </c>
      <c r="E4" s="269">
        <f>'Graphics Scrap'!F77</f>
        <v>1214.0825</v>
      </c>
      <c r="F4" s="271">
        <f>'Graphics Scrap'!G77</f>
        <v>1141.4704999999999</v>
      </c>
      <c r="G4" s="269">
        <f>'Graphics Scrap'!H77</f>
        <v>1112.26685</v>
      </c>
      <c r="H4" s="269">
        <f>'Graphics Scrap'!I77</f>
        <v>1403.4295000000002</v>
      </c>
      <c r="I4" s="293">
        <f>SUM(B4:H4)</f>
        <v>8192.8346499999989</v>
      </c>
    </row>
    <row r="5" spans="1:12" ht="21">
      <c r="A5" s="13"/>
      <c r="B5" s="14"/>
      <c r="C5" s="14"/>
      <c r="D5" s="14"/>
      <c r="E5" s="14"/>
      <c r="F5" s="14"/>
      <c r="G5" s="14"/>
      <c r="H5" s="14"/>
    </row>
    <row r="6" spans="1:12" ht="21">
      <c r="A6" s="13"/>
      <c r="B6" s="14"/>
      <c r="C6" s="14"/>
      <c r="D6" s="14"/>
      <c r="E6" s="14"/>
      <c r="F6" s="14"/>
      <c r="G6" s="14"/>
      <c r="H6" s="14"/>
    </row>
    <row r="7" spans="1:12" ht="16.5" customHeight="1">
      <c r="A7" s="13"/>
      <c r="B7" s="14"/>
      <c r="C7" s="14"/>
      <c r="D7" s="14"/>
      <c r="E7" s="14"/>
      <c r="F7" s="14"/>
      <c r="G7" s="14"/>
      <c r="H7" s="14"/>
    </row>
    <row r="8" spans="1:12" ht="15.75">
      <c r="A8" s="15" t="s">
        <v>109</v>
      </c>
      <c r="B8" s="16" t="s">
        <v>148</v>
      </c>
      <c r="C8" s="14"/>
      <c r="D8" s="14"/>
      <c r="E8" s="14"/>
      <c r="F8" s="14"/>
      <c r="G8" s="14"/>
      <c r="H8" s="14"/>
    </row>
    <row r="9" spans="1:12" s="11" customFormat="1" ht="45">
      <c r="A9" s="17" t="s">
        <v>110</v>
      </c>
      <c r="B9" s="17" t="s">
        <v>111</v>
      </c>
      <c r="C9" s="17" t="s">
        <v>112</v>
      </c>
      <c r="D9" s="17" t="s">
        <v>113</v>
      </c>
      <c r="E9" s="17" t="s">
        <v>114</v>
      </c>
      <c r="F9" s="17" t="s">
        <v>115</v>
      </c>
      <c r="G9" s="17" t="s">
        <v>116</v>
      </c>
      <c r="H9" s="17" t="s">
        <v>166</v>
      </c>
      <c r="I9" s="30" t="s">
        <v>164</v>
      </c>
      <c r="J9" s="30" t="s">
        <v>161</v>
      </c>
      <c r="K9" s="30" t="s">
        <v>123</v>
      </c>
      <c r="L9" s="30" t="s">
        <v>124</v>
      </c>
    </row>
    <row r="10" spans="1:12" s="11" customFormat="1">
      <c r="A10" s="18" t="s">
        <v>125</v>
      </c>
      <c r="B10" s="19">
        <f>B38+B63+B86</f>
        <v>936.38550000000009</v>
      </c>
      <c r="C10" s="19">
        <f>C38+C63+C86</f>
        <v>950.5379999999999</v>
      </c>
      <c r="D10" s="19">
        <f t="shared" ref="D10:G10" si="0">D38+D63+D86</f>
        <v>1243.973</v>
      </c>
      <c r="E10" s="19">
        <f t="shared" si="0"/>
        <v>1272.1990000000001</v>
      </c>
      <c r="F10" s="19">
        <f>F38+F63+F86</f>
        <v>1333.817</v>
      </c>
      <c r="G10" s="19">
        <f t="shared" si="0"/>
        <v>1032.8815</v>
      </c>
      <c r="H10" s="19">
        <f>SUM(H38,H63,H86)</f>
        <v>1047.6780000000001</v>
      </c>
      <c r="I10" s="19">
        <f>SUM(B10:H10)</f>
        <v>7817.4719999999998</v>
      </c>
      <c r="J10" s="19">
        <f>J38+J63+J86</f>
        <v>9126.64</v>
      </c>
      <c r="K10" s="31">
        <f>I10-J10</f>
        <v>-1309.1679999999997</v>
      </c>
      <c r="L10" s="42">
        <f>K10/J10*100</f>
        <v>-14.344468501003652</v>
      </c>
    </row>
    <row r="11" spans="1:12" s="11" customFormat="1">
      <c r="A11" s="18" t="s">
        <v>126</v>
      </c>
      <c r="B11" s="20">
        <f>B39+B64+B87</f>
        <v>111328.60179399999</v>
      </c>
      <c r="C11" s="20">
        <f t="shared" ref="C11:H11" si="1">C39+C64+C87</f>
        <v>90157.776471999998</v>
      </c>
      <c r="D11" s="20">
        <f t="shared" si="1"/>
        <v>142833.81958399998</v>
      </c>
      <c r="E11" s="20">
        <f t="shared" si="1"/>
        <v>140110.22015000001</v>
      </c>
      <c r="F11" s="20">
        <f t="shared" si="1"/>
        <v>176907.53919000001</v>
      </c>
      <c r="G11" s="20">
        <f t="shared" si="1"/>
        <v>139322.92636000001</v>
      </c>
      <c r="H11" s="20">
        <f t="shared" si="1"/>
        <v>152594.65340000001</v>
      </c>
      <c r="I11" s="20">
        <f>SUM(B11:H11)</f>
        <v>953255.5369500001</v>
      </c>
      <c r="J11" s="20">
        <f>J39+J64+J87</f>
        <v>494201.99</v>
      </c>
      <c r="K11" s="32">
        <f>I11-J11</f>
        <v>459053.54695000011</v>
      </c>
      <c r="L11" s="42">
        <f>K11/J11*100</f>
        <v>92.887838624445877</v>
      </c>
    </row>
    <row r="12" spans="1:12">
      <c r="A12" s="21"/>
      <c r="B12" s="22"/>
      <c r="C12" s="22"/>
      <c r="D12" s="22"/>
      <c r="E12" s="22"/>
      <c r="F12" s="22"/>
      <c r="G12" s="23"/>
      <c r="H12" s="23"/>
      <c r="I12" s="33">
        <f>I11/I10</f>
        <v>121.93910473232269</v>
      </c>
      <c r="J12" s="33">
        <f>J11/J10</f>
        <v>54.149390137005518</v>
      </c>
    </row>
    <row r="13" spans="1:12">
      <c r="A13" s="21"/>
      <c r="B13" s="23"/>
      <c r="C13" s="23"/>
      <c r="D13" s="23"/>
      <c r="E13" s="23"/>
      <c r="F13" s="23"/>
      <c r="G13" s="23"/>
      <c r="H13" s="23"/>
    </row>
    <row r="25" spans="1:13">
      <c r="H25" s="273"/>
    </row>
    <row r="28" spans="1:13">
      <c r="I28" s="35"/>
      <c r="J28" s="35"/>
      <c r="M28" s="43" t="s">
        <v>127</v>
      </c>
    </row>
    <row r="29" spans="1:13" ht="30.75" customHeight="1">
      <c r="A29" s="15" t="s">
        <v>128</v>
      </c>
      <c r="B29" s="24" t="s">
        <v>111</v>
      </c>
      <c r="C29" s="24" t="s">
        <v>112</v>
      </c>
      <c r="D29" s="24" t="s">
        <v>113</v>
      </c>
      <c r="E29" s="24" t="s">
        <v>114</v>
      </c>
      <c r="F29" s="24" t="s">
        <v>115</v>
      </c>
      <c r="G29" s="24" t="s">
        <v>116</v>
      </c>
      <c r="H29" s="252" t="s">
        <v>117</v>
      </c>
      <c r="I29" s="276" t="s">
        <v>163</v>
      </c>
      <c r="J29" s="277" t="s">
        <v>161</v>
      </c>
      <c r="K29" s="278" t="s">
        <v>129</v>
      </c>
      <c r="L29" s="279" t="s">
        <v>93</v>
      </c>
      <c r="M29" s="44" t="s">
        <v>130</v>
      </c>
    </row>
    <row r="30" spans="1:13">
      <c r="A30" s="25" t="s">
        <v>25</v>
      </c>
      <c r="B30" s="26">
        <f>'Plant 1 A'!C5</f>
        <v>522.58799999999997</v>
      </c>
      <c r="C30" s="26">
        <f>'Plant 1 A'!D5</f>
        <v>84.016000000000005</v>
      </c>
      <c r="D30" s="26">
        <f>'Plant 1 A'!E5</f>
        <v>756.952</v>
      </c>
      <c r="E30" s="26">
        <f>'Plant 1 A'!F5</f>
        <v>736.54600000000005</v>
      </c>
      <c r="F30" s="26">
        <f>'Plant 1 A'!G5</f>
        <v>837.34500000000003</v>
      </c>
      <c r="G30" s="26">
        <f>'Plant 1 A'!H5</f>
        <v>603.74149999999997</v>
      </c>
      <c r="H30" s="26">
        <f>'Plant 1 A'!I5</f>
        <v>575.28200000000004</v>
      </c>
      <c r="I30" s="38">
        <f>'Plant 1 A'!O5</f>
        <v>5340.3215</v>
      </c>
      <c r="J30" s="280">
        <v>3909.18</v>
      </c>
      <c r="K30" s="280"/>
      <c r="L30" s="291"/>
      <c r="M30" s="43">
        <v>4315</v>
      </c>
    </row>
    <row r="31" spans="1:13">
      <c r="A31" s="25" t="s">
        <v>131</v>
      </c>
      <c r="B31" s="26">
        <f>'Plant 1 A'!C17</f>
        <v>126.76</v>
      </c>
      <c r="C31" s="26">
        <f>'Plant 1 A'!D17</f>
        <v>115.74</v>
      </c>
      <c r="D31" s="26">
        <f>'Plant 1 A'!E17</f>
        <v>121.25</v>
      </c>
      <c r="E31" s="26">
        <f>'Plant 1 A'!F17</f>
        <v>115.74</v>
      </c>
      <c r="F31" s="26">
        <f>'Plant 1 A'!G17</f>
        <v>137.79</v>
      </c>
      <c r="G31" s="26">
        <f>'Plant 1 A'!H17</f>
        <v>143.30000000000001</v>
      </c>
      <c r="H31" s="26">
        <f>'Plant 1 A'!I17</f>
        <v>154.32</v>
      </c>
      <c r="I31" s="26"/>
      <c r="J31" s="282"/>
      <c r="K31" s="282"/>
      <c r="L31" s="283"/>
      <c r="M31" s="43"/>
    </row>
    <row r="32" spans="1:13">
      <c r="A32" s="25" t="s">
        <v>126</v>
      </c>
      <c r="B32" s="27">
        <f>B30*B31</f>
        <v>66243.254879999993</v>
      </c>
      <c r="C32" s="27">
        <f t="shared" ref="C32:H32" si="2">C30*C31</f>
        <v>9724.011840000001</v>
      </c>
      <c r="D32" s="27">
        <f t="shared" si="2"/>
        <v>91780.43</v>
      </c>
      <c r="E32" s="27">
        <f t="shared" si="2"/>
        <v>85247.834040000002</v>
      </c>
      <c r="F32" s="27">
        <f t="shared" si="2"/>
        <v>115377.76755</v>
      </c>
      <c r="G32" s="27">
        <f t="shared" si="2"/>
        <v>86516.156950000004</v>
      </c>
      <c r="H32" s="27">
        <f t="shared" si="2"/>
        <v>88777.518240000005</v>
      </c>
      <c r="I32" s="39">
        <f>'Plant 1 A'!O11</f>
        <v>652804.64531999989</v>
      </c>
      <c r="J32" s="284">
        <v>244683.93</v>
      </c>
      <c r="K32" s="280"/>
      <c r="L32" s="281"/>
      <c r="M32" s="43">
        <v>433318.84</v>
      </c>
    </row>
    <row r="33" spans="1:13">
      <c r="A33" s="21"/>
      <c r="B33" s="22"/>
      <c r="C33" s="22"/>
      <c r="D33" s="22"/>
      <c r="E33" s="22"/>
      <c r="F33" s="22"/>
      <c r="G33" s="22"/>
      <c r="H33" s="22"/>
      <c r="I33" s="22"/>
      <c r="J33" s="285"/>
      <c r="K33" s="285"/>
      <c r="L33" s="286"/>
      <c r="M33" s="43"/>
    </row>
    <row r="34" spans="1:13">
      <c r="A34" s="25" t="s">
        <v>132</v>
      </c>
      <c r="B34" s="26">
        <f>'Plant 1 A'!C7</f>
        <v>118.1275</v>
      </c>
      <c r="C34" s="26">
        <f>'Plant 1 A'!D7</f>
        <v>608.78</v>
      </c>
      <c r="D34" s="26">
        <f>'Plant 1 A'!E7</f>
        <v>129.70400000000001</v>
      </c>
      <c r="E34" s="26">
        <f>'Plant 1 A'!F7</f>
        <v>116.602</v>
      </c>
      <c r="F34" s="26">
        <f>'Plant 1 A'!G7</f>
        <v>130.328</v>
      </c>
      <c r="G34" s="26">
        <f>'Plant 1 A'!H7</f>
        <v>109.54900000000001</v>
      </c>
      <c r="H34" s="26">
        <f>'Plant 1 A'!I7</f>
        <v>187.76949999999999</v>
      </c>
      <c r="I34" s="38">
        <f>'Plant 1 A'!O7</f>
        <v>1696.9460000000001</v>
      </c>
      <c r="J34" s="280">
        <v>1106.3</v>
      </c>
      <c r="K34" s="280"/>
      <c r="L34" s="281"/>
      <c r="M34" s="43">
        <v>720</v>
      </c>
    </row>
    <row r="35" spans="1:13">
      <c r="A35" s="25" t="s">
        <v>131</v>
      </c>
      <c r="B35" s="26">
        <f>'Plant 1 A'!C20</f>
        <v>100.29</v>
      </c>
      <c r="C35" s="26">
        <f>'Plant 1 A'!D20</f>
        <v>87.11</v>
      </c>
      <c r="D35" s="26">
        <f>'Plant 1 A'!E20</f>
        <v>95.81</v>
      </c>
      <c r="E35" s="26">
        <f>'Plant 1 A'!F20</f>
        <v>87.5</v>
      </c>
      <c r="F35" s="26">
        <f>'Plant 1 A'!G20</f>
        <v>112.38</v>
      </c>
      <c r="G35" s="26">
        <f>'Plant 1 A'!H20</f>
        <v>115.37</v>
      </c>
      <c r="H35" s="26">
        <f>'Plant 1 A'!I20</f>
        <v>132.49</v>
      </c>
      <c r="I35" s="26"/>
      <c r="J35" s="282"/>
      <c r="K35" s="282"/>
      <c r="L35" s="283"/>
      <c r="M35" s="43"/>
    </row>
    <row r="36" spans="1:13">
      <c r="A36" s="25" t="s">
        <v>126</v>
      </c>
      <c r="B36" s="27">
        <f>B34*B35</f>
        <v>11847.006975</v>
      </c>
      <c r="C36" s="27">
        <f t="shared" ref="C36:H36" si="3">C34*C35</f>
        <v>53030.825799999999</v>
      </c>
      <c r="D36" s="27">
        <f t="shared" si="3"/>
        <v>12426.940240000002</v>
      </c>
      <c r="E36" s="27">
        <f t="shared" si="3"/>
        <v>10202.675000000001</v>
      </c>
      <c r="F36" s="27">
        <f t="shared" si="3"/>
        <v>14646.26064</v>
      </c>
      <c r="G36" s="27">
        <f t="shared" si="3"/>
        <v>12638.668130000002</v>
      </c>
      <c r="H36" s="27">
        <f t="shared" si="3"/>
        <v>24877.581055000002</v>
      </c>
      <c r="I36" s="39">
        <f>'Plant 1 A'!O12</f>
        <v>158163.81748</v>
      </c>
      <c r="J36" s="284">
        <v>29171.73</v>
      </c>
      <c r="K36" s="280"/>
      <c r="L36" s="281"/>
      <c r="M36" s="43">
        <v>52244.91</v>
      </c>
    </row>
    <row r="37" spans="1:13">
      <c r="A37" s="21"/>
      <c r="B37" s="22"/>
      <c r="C37" s="22"/>
      <c r="D37" s="22"/>
      <c r="E37" s="22"/>
      <c r="F37" s="22"/>
      <c r="G37" s="22"/>
      <c r="H37" s="22"/>
      <c r="I37" s="22"/>
      <c r="J37" s="285"/>
      <c r="K37" s="285"/>
      <c r="L37" s="286"/>
      <c r="M37" s="43"/>
    </row>
    <row r="38" spans="1:13">
      <c r="A38" s="25" t="s">
        <v>133</v>
      </c>
      <c r="B38" s="26">
        <f>B30+B34</f>
        <v>640.71550000000002</v>
      </c>
      <c r="C38" s="26">
        <f t="shared" ref="C38:G38" si="4">C30+C34</f>
        <v>692.79599999999994</v>
      </c>
      <c r="D38" s="26">
        <f t="shared" si="4"/>
        <v>886.65599999999995</v>
      </c>
      <c r="E38" s="26">
        <f t="shared" si="4"/>
        <v>853.14800000000002</v>
      </c>
      <c r="F38" s="26">
        <f t="shared" si="4"/>
        <v>967.673</v>
      </c>
      <c r="G38" s="26">
        <f t="shared" si="4"/>
        <v>713.29049999999995</v>
      </c>
      <c r="H38" s="26">
        <f>H30+H34</f>
        <v>763.05150000000003</v>
      </c>
      <c r="I38" s="38">
        <f>'Plant 1 A'!O9</f>
        <v>7037.2674999999999</v>
      </c>
      <c r="J38" s="280">
        <f>J30+J34</f>
        <v>5015.4799999999996</v>
      </c>
      <c r="K38" s="280">
        <f>I38-J38</f>
        <v>2021.7875000000004</v>
      </c>
      <c r="L38" s="287">
        <f>K38/J38*100</f>
        <v>40.310947307137113</v>
      </c>
      <c r="M38" s="46">
        <v>5035</v>
      </c>
    </row>
    <row r="39" spans="1:13">
      <c r="A39" s="25" t="s">
        <v>134</v>
      </c>
      <c r="B39" s="27">
        <f>B32+B36</f>
        <v>78090.26185499999</v>
      </c>
      <c r="C39" s="27">
        <f t="shared" ref="C39:G39" si="5">C32+C36</f>
        <v>62754.837639999998</v>
      </c>
      <c r="D39" s="27">
        <f t="shared" si="5"/>
        <v>104207.37023999999</v>
      </c>
      <c r="E39" s="27">
        <f t="shared" si="5"/>
        <v>95450.509040000004</v>
      </c>
      <c r="F39" s="27">
        <f t="shared" si="5"/>
        <v>130024.02819000001</v>
      </c>
      <c r="G39" s="27">
        <f t="shared" si="5"/>
        <v>99154.82508000001</v>
      </c>
      <c r="H39" s="27">
        <f>H32+H36</f>
        <v>113655.09929500001</v>
      </c>
      <c r="I39" s="39">
        <f>'Plant 1 A'!O13</f>
        <v>810968.46279999986</v>
      </c>
      <c r="J39" s="284">
        <f>J32+J36</f>
        <v>273855.65999999997</v>
      </c>
      <c r="K39" s="280"/>
      <c r="L39" s="281"/>
      <c r="M39" s="43">
        <v>485563.75</v>
      </c>
    </row>
    <row r="40" spans="1:13">
      <c r="A40" s="21"/>
      <c r="B40" s="23"/>
      <c r="C40" s="23"/>
      <c r="D40" s="23"/>
      <c r="E40" s="23"/>
      <c r="F40" s="23"/>
      <c r="G40" s="23"/>
      <c r="H40" s="23"/>
      <c r="M40" s="47"/>
    </row>
    <row r="41" spans="1:13">
      <c r="A41" s="21"/>
      <c r="B41" s="23"/>
      <c r="C41" s="23"/>
      <c r="D41" s="23"/>
      <c r="E41" s="23"/>
      <c r="F41" s="23"/>
      <c r="G41" s="23"/>
      <c r="H41" s="23"/>
    </row>
    <row r="42" spans="1:13">
      <c r="A42" s="21"/>
      <c r="B42" s="23"/>
      <c r="C42" s="23"/>
      <c r="D42" s="23"/>
      <c r="E42" s="23"/>
      <c r="F42" s="23"/>
      <c r="G42" s="23"/>
      <c r="H42" s="23"/>
    </row>
    <row r="43" spans="1:13">
      <c r="A43" s="21"/>
      <c r="B43" s="23"/>
      <c r="C43" s="23"/>
      <c r="D43" s="23"/>
      <c r="E43" s="23"/>
      <c r="F43" s="23"/>
      <c r="G43" s="23"/>
      <c r="H43" s="23"/>
    </row>
    <row r="44" spans="1:13">
      <c r="A44" s="21"/>
      <c r="B44" s="23"/>
      <c r="C44" s="23"/>
      <c r="D44" s="23"/>
      <c r="E44" s="23"/>
      <c r="F44" s="23"/>
      <c r="G44" s="23"/>
      <c r="H44" s="23"/>
    </row>
    <row r="45" spans="1:13">
      <c r="A45" s="21"/>
      <c r="B45" s="23"/>
      <c r="C45" s="23"/>
      <c r="D45" s="23"/>
      <c r="E45" s="23"/>
      <c r="F45" s="23"/>
      <c r="G45" s="23"/>
      <c r="H45" s="23"/>
    </row>
    <row r="46" spans="1:13">
      <c r="A46" s="21"/>
      <c r="B46" s="23"/>
      <c r="C46" s="23"/>
      <c r="D46" s="23"/>
      <c r="E46" s="23"/>
      <c r="F46" s="23"/>
      <c r="G46" s="23"/>
      <c r="H46" s="23"/>
    </row>
    <row r="47" spans="1:13">
      <c r="A47" s="21"/>
      <c r="B47" s="23"/>
      <c r="C47" s="23"/>
      <c r="D47" s="23"/>
      <c r="E47" s="23"/>
      <c r="F47" s="23"/>
      <c r="G47" s="23"/>
      <c r="H47" s="23"/>
    </row>
    <row r="48" spans="1:13">
      <c r="A48" s="21"/>
      <c r="B48" s="23"/>
      <c r="C48" s="23"/>
      <c r="D48" s="23"/>
      <c r="E48" s="23"/>
      <c r="F48" s="23"/>
      <c r="G48" s="23"/>
      <c r="H48" s="23"/>
    </row>
    <row r="49" spans="1:13">
      <c r="A49" s="21"/>
      <c r="B49" s="23"/>
      <c r="C49" s="23"/>
      <c r="D49" s="23"/>
      <c r="E49" s="23"/>
      <c r="F49" s="23"/>
      <c r="G49" s="23"/>
      <c r="H49" s="23"/>
      <c r="I49" s="35" t="s">
        <v>136</v>
      </c>
      <c r="J49" s="35" t="s">
        <v>135</v>
      </c>
      <c r="M49" s="48" t="s">
        <v>127</v>
      </c>
    </row>
    <row r="50" spans="1:13" ht="30">
      <c r="A50" s="15" t="s">
        <v>137</v>
      </c>
      <c r="B50" s="28" t="s">
        <v>111</v>
      </c>
      <c r="C50" s="28" t="s">
        <v>112</v>
      </c>
      <c r="D50" s="28" t="s">
        <v>113</v>
      </c>
      <c r="E50" s="28" t="s">
        <v>114</v>
      </c>
      <c r="F50" s="28" t="s">
        <v>115</v>
      </c>
      <c r="G50" s="28" t="s">
        <v>116</v>
      </c>
      <c r="H50" s="253" t="s">
        <v>117</v>
      </c>
      <c r="I50" s="276" t="s">
        <v>163</v>
      </c>
      <c r="J50" s="278" t="s">
        <v>161</v>
      </c>
      <c r="K50" s="278" t="s">
        <v>129</v>
      </c>
      <c r="L50" s="279" t="s">
        <v>93</v>
      </c>
      <c r="M50" s="49" t="s">
        <v>138</v>
      </c>
    </row>
    <row r="51" spans="1:13">
      <c r="A51" s="25" t="s">
        <v>139</v>
      </c>
      <c r="B51" s="26">
        <f>'Plant 2 A'!C5</f>
        <v>24.363</v>
      </c>
      <c r="C51" s="26">
        <f>'Plant 2 A'!D5</f>
        <v>15.273999999999999</v>
      </c>
      <c r="D51" s="26">
        <f>'Plant 2 A'!E5</f>
        <v>29.768000000000001</v>
      </c>
      <c r="E51" s="26">
        <f>'Plant 2 A'!F5</f>
        <v>31.402000000000001</v>
      </c>
      <c r="F51" s="26">
        <f>'Plant 2 A'!G5</f>
        <v>22.398</v>
      </c>
      <c r="G51" s="26">
        <f>'Plant 2 A'!H5</f>
        <v>23.071000000000002</v>
      </c>
      <c r="H51" s="26">
        <f>'Plant 2 A'!I5</f>
        <v>20.02</v>
      </c>
      <c r="I51" s="38">
        <f>'Plant 2 A'!O5</f>
        <v>209.64200000000002</v>
      </c>
      <c r="J51" s="280">
        <v>318.25</v>
      </c>
      <c r="K51" s="281"/>
      <c r="L51" s="281"/>
      <c r="M51" s="48">
        <v>495</v>
      </c>
    </row>
    <row r="52" spans="1:13">
      <c r="A52" s="25" t="s">
        <v>131</v>
      </c>
      <c r="B52" s="26">
        <f>'Plant 2 A'!C17</f>
        <v>11.023</v>
      </c>
      <c r="C52" s="26">
        <f>'Plant 2 A'!D17</f>
        <v>11.023</v>
      </c>
      <c r="D52" s="26">
        <f>'Plant 2 A'!E17</f>
        <v>11.023</v>
      </c>
      <c r="E52" s="26">
        <f>'Plant 2 A'!F17</f>
        <v>11.02</v>
      </c>
      <c r="F52" s="26">
        <f>'Plant 2 A'!G17</f>
        <v>11.02</v>
      </c>
      <c r="G52" s="26">
        <f>'Plant 2 A'!H17</f>
        <v>11.02</v>
      </c>
      <c r="H52" s="26">
        <f>'Plant 2 A'!I17</f>
        <v>11.02</v>
      </c>
      <c r="I52" s="26"/>
      <c r="J52" s="282"/>
      <c r="K52" s="283"/>
      <c r="L52" s="283"/>
      <c r="M52" s="48"/>
    </row>
    <row r="53" spans="1:13" s="12" customFormat="1">
      <c r="A53" s="29" t="s">
        <v>126</v>
      </c>
      <c r="B53" s="27">
        <f>B51*B52</f>
        <v>268.55334899999997</v>
      </c>
      <c r="C53" s="27">
        <f t="shared" ref="C53:H53" si="6">C51*C52</f>
        <v>168.36530199999999</v>
      </c>
      <c r="D53" s="27">
        <f t="shared" si="6"/>
        <v>328.13266399999998</v>
      </c>
      <c r="E53" s="27">
        <f t="shared" si="6"/>
        <v>346.05004000000002</v>
      </c>
      <c r="F53" s="27">
        <f t="shared" si="6"/>
        <v>246.82595999999998</v>
      </c>
      <c r="G53" s="27">
        <f t="shared" si="6"/>
        <v>254.24242000000001</v>
      </c>
      <c r="H53" s="27">
        <f t="shared" si="6"/>
        <v>220.62039999999999</v>
      </c>
      <c r="I53" s="39">
        <f>'Plant 2 A'!O9</f>
        <v>2094.9779749999998</v>
      </c>
      <c r="J53" s="284">
        <v>1530.88</v>
      </c>
      <c r="K53" s="284"/>
      <c r="L53" s="284"/>
      <c r="M53" s="50">
        <v>4951.29</v>
      </c>
    </row>
    <row r="54" spans="1:13">
      <c r="A54" s="21"/>
      <c r="B54" s="22"/>
      <c r="C54" s="22"/>
      <c r="D54" s="22"/>
      <c r="E54" s="22"/>
      <c r="F54" s="22"/>
      <c r="G54" s="22"/>
      <c r="H54" s="22"/>
      <c r="I54" s="22"/>
      <c r="J54" s="285"/>
      <c r="K54" s="286"/>
      <c r="L54" s="286"/>
      <c r="M54" s="48"/>
    </row>
    <row r="55" spans="1:13">
      <c r="A55" s="25" t="s">
        <v>140</v>
      </c>
      <c r="B55" s="26">
        <f>'Plant 2 A'!C6</f>
        <v>28.218</v>
      </c>
      <c r="C55" s="26">
        <f>'Plant 2 A'!D6</f>
        <v>39.155999999999999</v>
      </c>
      <c r="D55" s="26">
        <f>'Plant 2 A'!E6</f>
        <v>42.902999999999999</v>
      </c>
      <c r="E55" s="26">
        <f>'Plant 2 A'!F6</f>
        <v>59.238999999999997</v>
      </c>
      <c r="F55" s="26">
        <f>'Plant 2 A'!G6</f>
        <v>55.478999999999999</v>
      </c>
      <c r="G55" s="26">
        <f>'Plant 2 A'!H6</f>
        <v>32.017000000000003</v>
      </c>
      <c r="H55" s="26">
        <f>'Plant 2 A'!I6</f>
        <v>18.826000000000001</v>
      </c>
      <c r="I55" s="38">
        <f>'Plant 2 A'!O6</f>
        <v>333.46699999999998</v>
      </c>
      <c r="J55" s="280">
        <v>366.73</v>
      </c>
      <c r="K55" s="281"/>
      <c r="L55" s="281"/>
      <c r="M55" s="48">
        <v>252</v>
      </c>
    </row>
    <row r="56" spans="1:13">
      <c r="A56" s="25" t="s">
        <v>131</v>
      </c>
      <c r="B56" s="26">
        <f>'Plant 2 A'!C18</f>
        <v>170.86</v>
      </c>
      <c r="C56" s="26">
        <f>'Plant 2 A'!D18</f>
        <v>181.88</v>
      </c>
      <c r="D56" s="26">
        <f>'Plant 2 A'!E18</f>
        <v>192.9</v>
      </c>
      <c r="E56" s="26">
        <f>'Plant 2 A'!F18</f>
        <v>198.41</v>
      </c>
      <c r="F56" s="26">
        <f>'Plant 2 A'!G18</f>
        <v>198.41</v>
      </c>
      <c r="G56" s="26">
        <f>'Plant 2 A'!H18</f>
        <v>198.41</v>
      </c>
      <c r="H56" s="26">
        <f>'Plant 2 A'!I18</f>
        <v>209.44</v>
      </c>
      <c r="I56" s="26"/>
      <c r="J56" s="282"/>
      <c r="K56" s="283"/>
      <c r="L56" s="283"/>
      <c r="M56" s="48"/>
    </row>
    <row r="57" spans="1:13" s="12" customFormat="1">
      <c r="A57" s="29" t="s">
        <v>126</v>
      </c>
      <c r="B57" s="27">
        <f>B55*B56</f>
        <v>4821.3274800000008</v>
      </c>
      <c r="C57" s="27">
        <f t="shared" ref="C57:H57" si="7">C55*C56</f>
        <v>7121.6932799999995</v>
      </c>
      <c r="D57" s="27">
        <f t="shared" si="7"/>
        <v>8275.9886999999999</v>
      </c>
      <c r="E57" s="27">
        <f t="shared" si="7"/>
        <v>11753.609989999999</v>
      </c>
      <c r="F57" s="27">
        <f t="shared" si="7"/>
        <v>11007.588389999999</v>
      </c>
      <c r="G57" s="27">
        <f t="shared" si="7"/>
        <v>6352.4929700000002</v>
      </c>
      <c r="H57" s="27">
        <f t="shared" si="7"/>
        <v>3942.9174400000002</v>
      </c>
      <c r="I57" s="39">
        <f>'Plant 2 A'!O10</f>
        <v>61514.428909999995</v>
      </c>
      <c r="J57" s="284">
        <v>44693.21</v>
      </c>
      <c r="K57" s="284"/>
      <c r="L57" s="284"/>
      <c r="M57" s="50">
        <v>33421.58</v>
      </c>
    </row>
    <row r="58" spans="1:13">
      <c r="A58" s="21"/>
      <c r="B58" s="22"/>
      <c r="C58" s="22"/>
      <c r="D58" s="22"/>
      <c r="E58" s="22"/>
      <c r="F58" s="22"/>
      <c r="G58" s="22"/>
      <c r="H58" s="22"/>
      <c r="I58" s="22"/>
      <c r="J58" s="285"/>
      <c r="K58" s="286"/>
      <c r="L58" s="286"/>
      <c r="M58" s="48"/>
    </row>
    <row r="59" spans="1:13">
      <c r="A59" s="25" t="s">
        <v>141</v>
      </c>
      <c r="B59" s="26">
        <f>'Plant 2 A'!C7</f>
        <v>0</v>
      </c>
      <c r="C59" s="26">
        <f>'Plant 2 A'!D7</f>
        <v>0</v>
      </c>
      <c r="D59" s="26">
        <f>'Plant 2 A'!E7</f>
        <v>0</v>
      </c>
      <c r="E59" s="26">
        <f>'Plant 2 A'!F7</f>
        <v>0</v>
      </c>
      <c r="F59" s="26">
        <f>'Plant 2 A'!G7</f>
        <v>0</v>
      </c>
      <c r="G59" s="26">
        <f>'Plant 2 A'!H7</f>
        <v>0</v>
      </c>
      <c r="H59" s="26">
        <f>'Plant 2 A'!I7</f>
        <v>0</v>
      </c>
      <c r="I59" s="38">
        <f>'Plant 2 A'!O7</f>
        <v>0</v>
      </c>
      <c r="J59" s="280">
        <v>73.69</v>
      </c>
      <c r="K59" s="281"/>
      <c r="L59" s="281"/>
      <c r="M59" s="48">
        <v>151</v>
      </c>
    </row>
    <row r="60" spans="1:13">
      <c r="A60" s="25" t="s">
        <v>131</v>
      </c>
      <c r="B60" s="26">
        <f>'Plant 2 A'!C19</f>
        <v>0</v>
      </c>
      <c r="C60" s="26">
        <f>'Plant 2 A'!D19</f>
        <v>0</v>
      </c>
      <c r="D60" s="26">
        <f>'Plant 2 A'!E19</f>
        <v>0</v>
      </c>
      <c r="E60" s="26">
        <f>'Plant 2 A'!F19</f>
        <v>0</v>
      </c>
      <c r="F60" s="26">
        <f>'Plant 2 A'!G19</f>
        <v>0</v>
      </c>
      <c r="G60" s="26">
        <f>'Plant 2 A'!H19</f>
        <v>0</v>
      </c>
      <c r="H60" s="26">
        <f>'Plant 2 A'!I19</f>
        <v>0</v>
      </c>
      <c r="I60" s="26"/>
      <c r="J60" s="282"/>
      <c r="K60" s="283"/>
      <c r="L60" s="283"/>
      <c r="M60" s="48"/>
    </row>
    <row r="61" spans="1:13" s="12" customFormat="1">
      <c r="A61" s="29" t="s">
        <v>126</v>
      </c>
      <c r="B61" s="27">
        <f>B59*B60</f>
        <v>0</v>
      </c>
      <c r="C61" s="27">
        <f t="shared" ref="C61:H61" si="8">C59*C60</f>
        <v>0</v>
      </c>
      <c r="D61" s="27">
        <f t="shared" si="8"/>
        <v>0</v>
      </c>
      <c r="E61" s="27">
        <f t="shared" si="8"/>
        <v>0</v>
      </c>
      <c r="F61" s="27">
        <f t="shared" si="8"/>
        <v>0</v>
      </c>
      <c r="G61" s="27">
        <f t="shared" si="8"/>
        <v>0</v>
      </c>
      <c r="H61" s="27">
        <f t="shared" si="8"/>
        <v>0</v>
      </c>
      <c r="I61" s="39">
        <f>'Plant 2 A'!O11</f>
        <v>0</v>
      </c>
      <c r="J61" s="284">
        <v>2633.48</v>
      </c>
      <c r="K61" s="284"/>
      <c r="L61" s="284"/>
      <c r="M61" s="50">
        <v>14437.95</v>
      </c>
    </row>
    <row r="62" spans="1:13">
      <c r="A62" s="21"/>
      <c r="B62" s="22"/>
      <c r="C62" s="22"/>
      <c r="D62" s="22"/>
      <c r="E62" s="22"/>
      <c r="F62" s="22"/>
      <c r="G62" s="22"/>
      <c r="H62" s="22"/>
      <c r="I62" s="22"/>
      <c r="J62" s="285"/>
      <c r="K62" s="286"/>
      <c r="L62" s="286"/>
      <c r="M62" s="48"/>
    </row>
    <row r="63" spans="1:13">
      <c r="A63" s="25" t="s">
        <v>142</v>
      </c>
      <c r="B63" s="26">
        <f>'Plant 2 A'!C8</f>
        <v>52.581000000000003</v>
      </c>
      <c r="C63" s="26">
        <f>'Plant 2 A'!D8</f>
        <v>54.43</v>
      </c>
      <c r="D63" s="26">
        <f>'Plant 2 A'!E8</f>
        <v>72.670999999999992</v>
      </c>
      <c r="E63" s="26">
        <f>'Plant 2 A'!F8</f>
        <v>90.640999999999991</v>
      </c>
      <c r="F63" s="26">
        <f>'Plant 2 A'!G8</f>
        <v>77.876999999999995</v>
      </c>
      <c r="G63" s="26">
        <f>'Plant 2 A'!H8</f>
        <v>55.088000000000008</v>
      </c>
      <c r="H63" s="26">
        <f>H51+H55</f>
        <v>38.846000000000004</v>
      </c>
      <c r="I63" s="38">
        <f>'Plant 2 A'!O8</f>
        <v>543.10900000000004</v>
      </c>
      <c r="J63" s="280">
        <f>J51+J55+J59</f>
        <v>758.67000000000007</v>
      </c>
      <c r="K63" s="288">
        <f>I63-J63</f>
        <v>-215.56100000000004</v>
      </c>
      <c r="L63" s="289">
        <f>K63/J63*100</f>
        <v>-28.413012245113162</v>
      </c>
      <c r="M63" s="48">
        <v>898</v>
      </c>
    </row>
    <row r="64" spans="1:13" s="12" customFormat="1">
      <c r="A64" s="29" t="s">
        <v>134</v>
      </c>
      <c r="B64" s="27">
        <f>'Plant 2 A'!C12</f>
        <v>5089.8808290000006</v>
      </c>
      <c r="C64" s="27">
        <f>'Plant 2 A'!D12</f>
        <v>7290.0585819999997</v>
      </c>
      <c r="D64" s="27">
        <f>'Plant 2 A'!E12</f>
        <v>8604.1213640000005</v>
      </c>
      <c r="E64" s="27">
        <f>'Plant 2 A'!F12</f>
        <v>12099.660029999999</v>
      </c>
      <c r="F64" s="27">
        <f>'Plant 2 A'!G12</f>
        <v>11254.414349999999</v>
      </c>
      <c r="G64" s="27">
        <f>'Plant 2 A'!H12</f>
        <v>6606.7353899999998</v>
      </c>
      <c r="H64" s="27">
        <f>'Plant 2 A'!I12</f>
        <v>4163.53784</v>
      </c>
      <c r="I64" s="39">
        <f>'Plant 2 A'!O12</f>
        <v>63609.406884999997</v>
      </c>
      <c r="J64" s="284">
        <f>J53+J57+J61</f>
        <v>48857.57</v>
      </c>
      <c r="K64" s="284"/>
      <c r="L64" s="284"/>
      <c r="M64" s="50">
        <v>52810.82</v>
      </c>
    </row>
    <row r="65" spans="1:13">
      <c r="A65" s="21"/>
      <c r="B65" s="23"/>
      <c r="C65" s="23"/>
      <c r="D65" s="23"/>
      <c r="E65" s="23"/>
      <c r="F65" s="23"/>
      <c r="G65" s="23"/>
      <c r="H65" s="23"/>
      <c r="M65" s="47"/>
    </row>
    <row r="66" spans="1:13">
      <c r="A66" s="21"/>
      <c r="B66" s="23"/>
      <c r="C66" s="23"/>
      <c r="D66" s="23"/>
      <c r="E66" s="23"/>
      <c r="F66" s="23"/>
      <c r="G66" s="23"/>
      <c r="H66" s="23"/>
    </row>
    <row r="67" spans="1:13">
      <c r="A67" s="21"/>
      <c r="B67" s="23"/>
      <c r="C67" s="23"/>
      <c r="D67" s="23"/>
      <c r="E67" s="23"/>
      <c r="F67" s="23"/>
      <c r="G67" s="23"/>
      <c r="H67" s="23"/>
    </row>
    <row r="68" spans="1:13">
      <c r="A68" s="21"/>
      <c r="B68" s="23"/>
      <c r="C68" s="23"/>
      <c r="D68" s="23"/>
      <c r="E68" s="23"/>
      <c r="F68" s="23"/>
      <c r="G68" s="23"/>
      <c r="H68" s="23"/>
    </row>
    <row r="69" spans="1:13">
      <c r="A69" s="21"/>
      <c r="B69" s="23"/>
      <c r="C69" s="23"/>
      <c r="D69" s="23"/>
      <c r="E69" s="23"/>
      <c r="F69" s="23"/>
      <c r="G69" s="23"/>
      <c r="H69" s="23"/>
    </row>
    <row r="70" spans="1:13">
      <c r="A70" s="21"/>
      <c r="B70" s="23"/>
      <c r="C70" s="23"/>
      <c r="D70" s="23"/>
      <c r="E70" s="23"/>
      <c r="F70" s="23"/>
      <c r="G70" s="23"/>
      <c r="H70" s="23"/>
    </row>
    <row r="71" spans="1:13">
      <c r="A71" s="21"/>
      <c r="B71" s="23"/>
      <c r="C71" s="23"/>
      <c r="D71" s="23"/>
      <c r="E71" s="23"/>
      <c r="F71" s="23"/>
      <c r="G71" s="23"/>
      <c r="H71" s="23"/>
    </row>
    <row r="72" spans="1:13">
      <c r="A72" s="21"/>
      <c r="B72" s="23"/>
      <c r="C72" s="23"/>
      <c r="D72" s="23"/>
      <c r="E72" s="23"/>
      <c r="F72" s="23"/>
      <c r="G72" s="23"/>
      <c r="H72" s="23"/>
    </row>
    <row r="73" spans="1:13">
      <c r="A73" s="21"/>
      <c r="B73" s="23"/>
      <c r="C73" s="23"/>
      <c r="D73" s="23"/>
      <c r="E73" s="23"/>
      <c r="F73" s="23"/>
      <c r="G73" s="23"/>
      <c r="H73" s="23"/>
    </row>
    <row r="74" spans="1:13">
      <c r="A74" s="21"/>
      <c r="B74" s="23"/>
      <c r="C74" s="23"/>
      <c r="D74" s="23"/>
      <c r="E74" s="23"/>
      <c r="F74" s="23"/>
      <c r="G74" s="23"/>
      <c r="H74" s="23"/>
    </row>
    <row r="75" spans="1:13">
      <c r="A75" s="21"/>
      <c r="B75" s="23"/>
      <c r="C75" s="23"/>
      <c r="D75" s="23"/>
      <c r="E75" s="23"/>
      <c r="F75" s="23"/>
      <c r="G75" s="23"/>
      <c r="H75" s="23"/>
    </row>
    <row r="76" spans="1:13">
      <c r="A76" s="21"/>
      <c r="B76" s="23"/>
      <c r="C76" s="23"/>
      <c r="D76" s="23"/>
      <c r="E76" s="23"/>
      <c r="F76" s="23"/>
      <c r="G76" s="23"/>
      <c r="H76" s="23"/>
      <c r="I76" s="35" t="s">
        <v>136</v>
      </c>
      <c r="J76" s="35" t="s">
        <v>135</v>
      </c>
      <c r="K76" s="151" t="s">
        <v>160</v>
      </c>
      <c r="M76" s="48" t="s">
        <v>127</v>
      </c>
    </row>
    <row r="77" spans="1:13" ht="30">
      <c r="A77" s="15" t="s">
        <v>149</v>
      </c>
      <c r="B77" s="28" t="s">
        <v>111</v>
      </c>
      <c r="C77" s="28" t="s">
        <v>112</v>
      </c>
      <c r="D77" s="28" t="s">
        <v>113</v>
      </c>
      <c r="E77" s="28" t="s">
        <v>114</v>
      </c>
      <c r="F77" s="28" t="s">
        <v>115</v>
      </c>
      <c r="G77" s="28" t="s">
        <v>116</v>
      </c>
      <c r="H77" s="253" t="s">
        <v>117</v>
      </c>
      <c r="I77" s="276" t="s">
        <v>162</v>
      </c>
      <c r="J77" s="278" t="s">
        <v>161</v>
      </c>
      <c r="K77" s="278" t="s">
        <v>129</v>
      </c>
      <c r="L77" s="279" t="s">
        <v>93</v>
      </c>
      <c r="M77" s="48" t="s">
        <v>144</v>
      </c>
    </row>
    <row r="78" spans="1:13">
      <c r="A78" s="25" t="s">
        <v>25</v>
      </c>
      <c r="B78" s="26">
        <f>'Plant 3 A'!C5</f>
        <v>142.38999999999999</v>
      </c>
      <c r="C78" s="26">
        <f>'Plant 3 A'!D5</f>
        <v>83.911000000000001</v>
      </c>
      <c r="D78" s="26">
        <f>'Plant 3 A'!E5</f>
        <v>108.113</v>
      </c>
      <c r="E78" s="26">
        <f>'Plant 3 A'!F5</f>
        <v>135.417</v>
      </c>
      <c r="F78" s="26">
        <f>'Plant 3 A'!G5</f>
        <v>127.259</v>
      </c>
      <c r="G78" s="26">
        <f>'Plant 3 A'!H5</f>
        <v>109.04600000000001</v>
      </c>
      <c r="H78" s="26">
        <f>'Plant 3 A'!I5</f>
        <v>101.354</v>
      </c>
      <c r="I78" s="38">
        <f>'Plant 3 A'!O5</f>
        <v>1036.0230000000001</v>
      </c>
      <c r="J78" s="280">
        <v>1866.49</v>
      </c>
      <c r="K78" s="280"/>
      <c r="L78" s="281"/>
      <c r="M78" s="48">
        <v>1758</v>
      </c>
    </row>
    <row r="79" spans="1:13">
      <c r="A79" s="25" t="s">
        <v>131</v>
      </c>
      <c r="B79" s="26">
        <f>'Plant 3 A'!C17</f>
        <v>126.76</v>
      </c>
      <c r="C79" s="26">
        <f>'Plant 3 A'!D17</f>
        <v>115.74</v>
      </c>
      <c r="D79" s="26">
        <f>'Plant 3 A'!E17</f>
        <v>121.25</v>
      </c>
      <c r="E79" s="26">
        <f>'Plant 3 A'!F17</f>
        <v>115.74</v>
      </c>
      <c r="F79" s="26">
        <f>'Plant 3 A'!G17</f>
        <v>137.79</v>
      </c>
      <c r="G79" s="26">
        <f>'Plant 3 A'!H17</f>
        <v>143.30000000000001</v>
      </c>
      <c r="H79" s="26">
        <f>'Plant 3 A'!I17</f>
        <v>154.32</v>
      </c>
      <c r="I79" s="26"/>
      <c r="J79" s="282"/>
      <c r="K79" s="282"/>
      <c r="L79" s="283"/>
      <c r="M79" s="48"/>
    </row>
    <row r="80" spans="1:13" s="12" customFormat="1">
      <c r="A80" s="29" t="s">
        <v>126</v>
      </c>
      <c r="B80" s="27">
        <f>B78*B79</f>
        <v>18049.356400000001</v>
      </c>
      <c r="C80" s="27">
        <f t="shared" ref="C80:H80" si="9">C78*C79</f>
        <v>9711.8591400000005</v>
      </c>
      <c r="D80" s="27">
        <f t="shared" si="9"/>
        <v>13108.70125</v>
      </c>
      <c r="E80" s="27">
        <f t="shared" si="9"/>
        <v>15673.16358</v>
      </c>
      <c r="F80" s="27">
        <f t="shared" si="9"/>
        <v>17535.017609999999</v>
      </c>
      <c r="G80" s="27">
        <f t="shared" si="9"/>
        <v>15626.291800000003</v>
      </c>
      <c r="H80" s="27">
        <f t="shared" si="9"/>
        <v>15640.949279999999</v>
      </c>
      <c r="I80" s="39">
        <f>'Plant 3 A'!O11</f>
        <v>124905.04293000001</v>
      </c>
      <c r="J80" s="284">
        <v>124790.63</v>
      </c>
      <c r="K80" s="284"/>
      <c r="L80" s="284"/>
      <c r="M80" s="50">
        <v>161523.16</v>
      </c>
    </row>
    <row r="81" spans="1:13">
      <c r="A81" s="21"/>
      <c r="B81" s="22"/>
      <c r="C81" s="22"/>
      <c r="D81" s="22"/>
      <c r="E81" s="22"/>
      <c r="F81" s="22"/>
      <c r="G81" s="22"/>
      <c r="H81" s="22"/>
      <c r="I81" s="22"/>
      <c r="J81" s="285"/>
      <c r="K81" s="285"/>
      <c r="L81" s="286"/>
      <c r="M81" s="48"/>
    </row>
    <row r="82" spans="1:13">
      <c r="A82" s="25" t="s">
        <v>132</v>
      </c>
      <c r="B82" s="26">
        <f>'Plant 3 A'!C7</f>
        <v>100.699</v>
      </c>
      <c r="C82" s="26">
        <f>'Plant 3 A'!D7</f>
        <v>119.401</v>
      </c>
      <c r="D82" s="26">
        <f>'Plant 3 A'!E7</f>
        <v>176.53299999999999</v>
      </c>
      <c r="E82" s="26">
        <f>'Plant 3 A'!F7</f>
        <v>192.99299999999999</v>
      </c>
      <c r="F82" s="26">
        <f>'Plant 3 A'!G7</f>
        <v>161.00800000000001</v>
      </c>
      <c r="G82" s="26">
        <f>'Plant 3 A'!H7</f>
        <v>155.45699999999999</v>
      </c>
      <c r="H82" s="26">
        <f>'Plant 3 A'!I7</f>
        <v>144.4265</v>
      </c>
      <c r="I82" s="38">
        <f>'Plant 3 A'!O7</f>
        <v>1220.6194999999998</v>
      </c>
      <c r="J82" s="280">
        <v>1486</v>
      </c>
      <c r="K82" s="280"/>
      <c r="L82" s="281"/>
      <c r="M82" s="48">
        <v>1270</v>
      </c>
    </row>
    <row r="83" spans="1:13">
      <c r="A83" s="25" t="s">
        <v>131</v>
      </c>
      <c r="B83" s="26">
        <f>'Plant 3 A'!C20</f>
        <v>100.29</v>
      </c>
      <c r="C83" s="26">
        <f>'Plant 3 A'!D20</f>
        <v>87.11</v>
      </c>
      <c r="D83" s="26">
        <f>'Plant 3 A'!E20</f>
        <v>95.81</v>
      </c>
      <c r="E83" s="26">
        <f>'Plant 3 A'!F20</f>
        <v>87.5</v>
      </c>
      <c r="F83" s="26">
        <f>'Plant 3 A'!G20</f>
        <v>112.38</v>
      </c>
      <c r="G83" s="26">
        <f>'Plant 3 A'!H20</f>
        <v>115.37</v>
      </c>
      <c r="H83" s="26">
        <f>'Plant 3 A'!I20</f>
        <v>132.49</v>
      </c>
      <c r="I83" s="26"/>
      <c r="J83" s="282"/>
      <c r="K83" s="282"/>
      <c r="L83" s="283"/>
      <c r="M83" s="48"/>
    </row>
    <row r="84" spans="1:13" s="12" customFormat="1">
      <c r="A84" s="29" t="s">
        <v>126</v>
      </c>
      <c r="B84" s="27">
        <f>B82*B83</f>
        <v>10099.102710000001</v>
      </c>
      <c r="C84" s="27">
        <f t="shared" ref="C84:H84" si="10">C82*C83</f>
        <v>10401.02111</v>
      </c>
      <c r="D84" s="27">
        <f t="shared" si="10"/>
        <v>16913.62673</v>
      </c>
      <c r="E84" s="27">
        <f t="shared" si="10"/>
        <v>16886.887500000001</v>
      </c>
      <c r="F84" s="27">
        <f t="shared" si="10"/>
        <v>18094.079040000001</v>
      </c>
      <c r="G84" s="27">
        <f t="shared" si="10"/>
        <v>17935.074089999998</v>
      </c>
      <c r="H84" s="27">
        <f t="shared" si="10"/>
        <v>19135.066985000001</v>
      </c>
      <c r="I84" s="39">
        <f>'Plant 3 A'!O12</f>
        <v>121332.22054499999</v>
      </c>
      <c r="J84" s="284">
        <v>46698.13</v>
      </c>
      <c r="K84" s="284"/>
      <c r="L84" s="284"/>
      <c r="M84" s="50">
        <v>88319.4</v>
      </c>
    </row>
    <row r="85" spans="1:13">
      <c r="A85" s="21"/>
      <c r="B85" s="22"/>
      <c r="C85" s="22"/>
      <c r="D85" s="22"/>
      <c r="E85" s="22"/>
      <c r="F85" s="22"/>
      <c r="G85" s="22"/>
      <c r="H85" s="22"/>
      <c r="I85" s="22"/>
      <c r="J85" s="285"/>
      <c r="K85" s="285"/>
      <c r="L85" s="286"/>
      <c r="M85" s="48"/>
    </row>
    <row r="86" spans="1:13">
      <c r="A86" s="25" t="s">
        <v>150</v>
      </c>
      <c r="B86" s="26">
        <f>'Plant 3 A'!C9</f>
        <v>243.089</v>
      </c>
      <c r="C86" s="26">
        <f>'Plant 3 A'!D9</f>
        <v>203.31200000000001</v>
      </c>
      <c r="D86" s="26">
        <f>'Plant 3 A'!E9</f>
        <v>284.64599999999996</v>
      </c>
      <c r="E86" s="26">
        <f>'Plant 3 A'!F9</f>
        <v>328.40999999999997</v>
      </c>
      <c r="F86" s="26">
        <f>'Plant 3 A'!G9</f>
        <v>288.267</v>
      </c>
      <c r="G86" s="26">
        <f>'Plant 3 A'!H9</f>
        <v>264.50299999999999</v>
      </c>
      <c r="H86" s="26">
        <f>'Plant 3 A'!I9</f>
        <v>245.78050000000002</v>
      </c>
      <c r="I86" s="38">
        <f>'Plant 3 A'!O9</f>
        <v>2256.6424999999999</v>
      </c>
      <c r="J86" s="280">
        <f>J78+J82</f>
        <v>3352.49</v>
      </c>
      <c r="K86" s="280">
        <f>I86-J86</f>
        <v>-1095.8474999999999</v>
      </c>
      <c r="L86" s="290">
        <f>K86/J86*100</f>
        <v>-32.687569537865883</v>
      </c>
      <c r="M86" s="48">
        <v>3028</v>
      </c>
    </row>
    <row r="87" spans="1:13" s="12" customFormat="1">
      <c r="A87" s="29" t="s">
        <v>134</v>
      </c>
      <c r="B87" s="27">
        <f>'Plant 3 A'!C13</f>
        <v>28148.459110000003</v>
      </c>
      <c r="C87" s="27">
        <f>'Plant 3 A'!D13</f>
        <v>20112.880250000002</v>
      </c>
      <c r="D87" s="27">
        <f>'Plant 3 A'!E13</f>
        <v>30022.327980000002</v>
      </c>
      <c r="E87" s="27">
        <f>'Plant 3 A'!F13</f>
        <v>32560.051080000001</v>
      </c>
      <c r="F87" s="27">
        <f>'Plant 3 A'!G13</f>
        <v>35629.096649999999</v>
      </c>
      <c r="G87" s="27">
        <f>'Plant 3 A'!H13</f>
        <v>33561.365890000001</v>
      </c>
      <c r="H87" s="27">
        <f>'Plant 3 A'!I13</f>
        <v>34776.016264999998</v>
      </c>
      <c r="I87" s="39">
        <f>'Plant 3 A'!O13</f>
        <v>246237.26347499999</v>
      </c>
      <c r="J87" s="284">
        <f>J80+J84</f>
        <v>171488.76</v>
      </c>
      <c r="K87" s="284"/>
      <c r="L87" s="284"/>
      <c r="M87" s="50">
        <v>249842.56</v>
      </c>
    </row>
    <row r="88" spans="1:13">
      <c r="A88" s="21"/>
      <c r="B88" s="23"/>
      <c r="C88" s="23"/>
      <c r="D88" s="23"/>
      <c r="E88" s="23"/>
      <c r="F88" s="23"/>
      <c r="G88" s="23"/>
      <c r="H88" s="23"/>
    </row>
    <row r="89" spans="1:13">
      <c r="A89" s="21"/>
      <c r="B89" s="23"/>
      <c r="C89" s="23"/>
      <c r="D89" s="23"/>
      <c r="E89" s="23"/>
      <c r="F89" s="23"/>
      <c r="G89" s="23"/>
      <c r="H89" s="23"/>
    </row>
  </sheetData>
  <sheetProtection algorithmName="SHA-512" hashValue="1eIBlU4R4XUkgi8RC+aWOkiQefhFFQDk3dM6rFm+2EkYQhh9fjHf6t0oAv4catsKb6bMiTSbVfYY5j8DqNdszg==" saltValue="vxhrTJ13jzKjoMO0zy5wlA==" spinCount="100000" sheet="1" objects="1" scenarios="1" selectLockedCells="1" selectUnlockedCells="1"/>
  <mergeCells count="1">
    <mergeCell ref="A1:G1"/>
  </mergeCells>
  <pageMargins left="0.7" right="0.7" top="0.75" bottom="0.75" header="0.3" footer="0.3"/>
  <pageSetup scale="5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C4:O8"/>
  <sheetViews>
    <sheetView workbookViewId="0">
      <selection activeCell="K18" sqref="K18"/>
    </sheetView>
  </sheetViews>
  <sheetFormatPr defaultColWidth="9.140625" defaultRowHeight="15"/>
  <sheetData>
    <row r="4" spans="3:15" ht="17.25">
      <c r="C4" t="s">
        <v>145</v>
      </c>
      <c r="E4" s="1">
        <v>1562</v>
      </c>
      <c r="I4" s="4">
        <v>4077</v>
      </c>
      <c r="K4" s="8">
        <v>3991</v>
      </c>
      <c r="M4" s="5">
        <v>2947</v>
      </c>
      <c r="N4">
        <f>SUM(E4:M4)</f>
        <v>12577</v>
      </c>
      <c r="O4">
        <f>N4/1000</f>
        <v>12.577</v>
      </c>
    </row>
    <row r="5" spans="3:15" ht="17.25">
      <c r="C5" t="s">
        <v>146</v>
      </c>
      <c r="E5" s="2">
        <v>3154</v>
      </c>
      <c r="F5" s="3">
        <v>6490</v>
      </c>
      <c r="G5" s="4">
        <v>8515</v>
      </c>
      <c r="H5" s="5">
        <v>1514</v>
      </c>
      <c r="I5" s="4">
        <v>3129</v>
      </c>
      <c r="J5" s="6">
        <v>1622</v>
      </c>
      <c r="K5" s="9">
        <v>4023</v>
      </c>
      <c r="L5" s="9">
        <v>11240</v>
      </c>
      <c r="M5" s="6">
        <v>2532</v>
      </c>
      <c r="N5">
        <f>SUM(E5:M5)</f>
        <v>42219</v>
      </c>
      <c r="O5">
        <f>N5/1000</f>
        <v>42.219000000000001</v>
      </c>
    </row>
    <row r="6" spans="3:15" ht="17.25">
      <c r="C6" t="s">
        <v>147</v>
      </c>
      <c r="D6" s="6">
        <v>10650</v>
      </c>
      <c r="E6" s="1">
        <v>4064</v>
      </c>
      <c r="H6" s="7">
        <v>5671</v>
      </c>
      <c r="I6" s="10">
        <v>1269</v>
      </c>
      <c r="J6" s="5">
        <v>3174</v>
      </c>
      <c r="K6" s="8">
        <v>1341</v>
      </c>
      <c r="M6" s="5">
        <v>706</v>
      </c>
      <c r="N6">
        <f>SUM(D6:M6)</f>
        <v>26875</v>
      </c>
      <c r="O6">
        <f>N6/1000</f>
        <v>26.875</v>
      </c>
    </row>
    <row r="8" spans="3:15">
      <c r="N8">
        <f>SUM(N4:N7)</f>
        <v>81671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12"/>
  <sheetViews>
    <sheetView topLeftCell="A64" zoomScale="90" zoomScaleNormal="90" workbookViewId="0">
      <pane xSplit="1" topLeftCell="R1" activePane="topRight" state="frozen"/>
      <selection pane="topRight" activeCell="W79" sqref="W79"/>
    </sheetView>
  </sheetViews>
  <sheetFormatPr defaultColWidth="9.140625" defaultRowHeight="15"/>
  <cols>
    <col min="1" max="1" width="21.85546875" customWidth="1"/>
    <col min="2" max="45" width="11.140625" customWidth="1"/>
    <col min="46" max="46" width="12" customWidth="1"/>
  </cols>
  <sheetData>
    <row r="1" spans="1:46">
      <c r="A1" s="299" t="s">
        <v>167</v>
      </c>
    </row>
    <row r="2" spans="1:46">
      <c r="A2" s="299" t="s">
        <v>30</v>
      </c>
    </row>
    <row r="3" spans="1:46">
      <c r="A3" s="151"/>
    </row>
    <row r="4" spans="1:46" ht="15.75" thickBot="1">
      <c r="A4" s="304" t="s">
        <v>1</v>
      </c>
      <c r="B4" s="163" t="s">
        <v>2</v>
      </c>
      <c r="C4" s="163" t="s">
        <v>3</v>
      </c>
      <c r="D4" s="163" t="s">
        <v>4</v>
      </c>
      <c r="E4" s="163" t="s">
        <v>4</v>
      </c>
      <c r="F4" s="163" t="s">
        <v>5</v>
      </c>
      <c r="G4" s="163" t="s">
        <v>6</v>
      </c>
      <c r="H4" s="163" t="s">
        <v>7</v>
      </c>
      <c r="I4" s="163" t="s">
        <v>2</v>
      </c>
      <c r="J4" s="163"/>
      <c r="K4" s="163" t="s">
        <v>3</v>
      </c>
      <c r="L4" s="163" t="s">
        <v>4</v>
      </c>
      <c r="M4" s="163" t="s">
        <v>4</v>
      </c>
      <c r="N4" s="163" t="s">
        <v>5</v>
      </c>
      <c r="O4" s="163" t="s">
        <v>6</v>
      </c>
      <c r="P4" s="163" t="s">
        <v>7</v>
      </c>
      <c r="Q4" s="163" t="s">
        <v>2</v>
      </c>
      <c r="R4" s="163"/>
      <c r="S4" s="163" t="s">
        <v>3</v>
      </c>
      <c r="T4" s="163" t="s">
        <v>4</v>
      </c>
      <c r="U4" s="163" t="s">
        <v>4</v>
      </c>
      <c r="V4" s="163" t="s">
        <v>5</v>
      </c>
      <c r="W4" s="163" t="s">
        <v>6</v>
      </c>
      <c r="X4" s="163" t="s">
        <v>7</v>
      </c>
      <c r="Y4" s="163" t="s">
        <v>2</v>
      </c>
      <c r="Z4" s="163"/>
      <c r="AA4" s="163" t="s">
        <v>3</v>
      </c>
      <c r="AB4" s="163" t="s">
        <v>4</v>
      </c>
      <c r="AC4" s="163" t="s">
        <v>4</v>
      </c>
      <c r="AD4" s="163" t="s">
        <v>5</v>
      </c>
      <c r="AE4" s="163" t="s">
        <v>6</v>
      </c>
      <c r="AF4" s="163" t="s">
        <v>7</v>
      </c>
      <c r="AG4" s="163" t="s">
        <v>2</v>
      </c>
      <c r="AH4" s="163"/>
      <c r="AI4" s="163" t="s">
        <v>3</v>
      </c>
      <c r="AJ4" s="163" t="s">
        <v>4</v>
      </c>
      <c r="AK4" s="163" t="s">
        <v>4</v>
      </c>
      <c r="AL4" s="163" t="s">
        <v>5</v>
      </c>
      <c r="AM4" s="163" t="s">
        <v>6</v>
      </c>
      <c r="AN4" s="163" t="s">
        <v>7</v>
      </c>
      <c r="AO4" s="163"/>
      <c r="AP4" s="163"/>
      <c r="AQ4" s="163" t="s">
        <v>2</v>
      </c>
      <c r="AR4" s="298" t="s">
        <v>3</v>
      </c>
      <c r="AS4" s="47"/>
    </row>
    <row r="5" spans="1:46" ht="15.75" thickBot="1">
      <c r="A5" s="164" t="s">
        <v>8</v>
      </c>
      <c r="B5" s="165"/>
      <c r="C5" s="167"/>
      <c r="D5" s="168"/>
      <c r="E5" s="168"/>
      <c r="F5" s="168"/>
      <c r="G5" s="169"/>
      <c r="H5" s="169">
        <v>44562</v>
      </c>
      <c r="I5" s="169">
        <v>44563</v>
      </c>
      <c r="J5" s="166" t="s">
        <v>9</v>
      </c>
      <c r="K5" s="169">
        <v>44564</v>
      </c>
      <c r="L5" s="169">
        <v>44565</v>
      </c>
      <c r="M5" s="169">
        <v>44566</v>
      </c>
      <c r="N5" s="169">
        <v>44567</v>
      </c>
      <c r="O5" s="169">
        <v>44568</v>
      </c>
      <c r="P5" s="169">
        <v>44569</v>
      </c>
      <c r="Q5" s="169">
        <v>44570</v>
      </c>
      <c r="R5" s="166" t="s">
        <v>9</v>
      </c>
      <c r="S5" s="169">
        <v>44571</v>
      </c>
      <c r="T5" s="169">
        <v>44572</v>
      </c>
      <c r="U5" s="169">
        <v>44573</v>
      </c>
      <c r="V5" s="169">
        <v>44574</v>
      </c>
      <c r="W5" s="169">
        <v>44575</v>
      </c>
      <c r="X5" s="169">
        <v>44576</v>
      </c>
      <c r="Y5" s="169">
        <v>44577</v>
      </c>
      <c r="Z5" s="166" t="s">
        <v>9</v>
      </c>
      <c r="AA5" s="169">
        <v>44578</v>
      </c>
      <c r="AB5" s="169">
        <v>44579</v>
      </c>
      <c r="AC5" s="169">
        <v>44580</v>
      </c>
      <c r="AD5" s="169">
        <v>44581</v>
      </c>
      <c r="AE5" s="169">
        <v>44582</v>
      </c>
      <c r="AF5" s="169">
        <v>44583</v>
      </c>
      <c r="AG5" s="169">
        <v>44584</v>
      </c>
      <c r="AH5" s="166" t="s">
        <v>9</v>
      </c>
      <c r="AI5" s="169">
        <v>44585</v>
      </c>
      <c r="AJ5" s="169">
        <v>44586</v>
      </c>
      <c r="AK5" s="169">
        <v>44587</v>
      </c>
      <c r="AL5" s="169">
        <v>44588</v>
      </c>
      <c r="AM5" s="169">
        <v>44589</v>
      </c>
      <c r="AN5" s="169">
        <v>44590</v>
      </c>
      <c r="AO5" s="169"/>
      <c r="AP5" s="169"/>
      <c r="AQ5" s="169">
        <v>44591</v>
      </c>
      <c r="AR5" s="169">
        <v>44592</v>
      </c>
      <c r="AS5" s="166" t="s">
        <v>9</v>
      </c>
      <c r="AT5" s="191" t="s">
        <v>10</v>
      </c>
    </row>
    <row r="6" spans="1:46">
      <c r="A6" s="170" t="s">
        <v>11</v>
      </c>
      <c r="B6" s="165"/>
      <c r="C6" s="172"/>
      <c r="D6" s="173"/>
      <c r="E6" s="173"/>
      <c r="F6" s="173"/>
      <c r="G6" s="173"/>
      <c r="H6" s="173">
        <v>0</v>
      </c>
      <c r="I6" s="173">
        <v>0</v>
      </c>
      <c r="J6" s="185">
        <f>SUM(C6:I6)</f>
        <v>0</v>
      </c>
      <c r="K6" s="173"/>
      <c r="L6" s="173">
        <v>11538</v>
      </c>
      <c r="M6" s="173">
        <v>14761</v>
      </c>
      <c r="N6" s="173">
        <v>12616</v>
      </c>
      <c r="O6" s="173">
        <v>0</v>
      </c>
      <c r="P6" s="173">
        <v>0</v>
      </c>
      <c r="Q6" s="173">
        <v>0</v>
      </c>
      <c r="R6" s="185">
        <f>SUM(K6:Q6)</f>
        <v>38915</v>
      </c>
      <c r="S6" s="173">
        <v>15193</v>
      </c>
      <c r="T6" s="173">
        <v>21711</v>
      </c>
      <c r="U6" s="173">
        <v>21522</v>
      </c>
      <c r="V6" s="173">
        <v>12614</v>
      </c>
      <c r="W6" s="173">
        <v>0</v>
      </c>
      <c r="X6" s="173">
        <v>0</v>
      </c>
      <c r="Y6" s="173">
        <v>0</v>
      </c>
      <c r="Z6" s="185">
        <f>SUM(S6:Y6)</f>
        <v>71040</v>
      </c>
      <c r="AA6" s="173">
        <v>16435</v>
      </c>
      <c r="AB6" s="173">
        <v>8282</v>
      </c>
      <c r="AC6" s="173">
        <v>10348</v>
      </c>
      <c r="AD6" s="173">
        <v>18410</v>
      </c>
      <c r="AE6" s="173">
        <v>0</v>
      </c>
      <c r="AF6" s="173">
        <v>0</v>
      </c>
      <c r="AG6" s="173">
        <v>0</v>
      </c>
      <c r="AH6" s="185">
        <f>SUM(AA6:AG6)</f>
        <v>53475</v>
      </c>
      <c r="AI6" s="173">
        <v>24952</v>
      </c>
      <c r="AJ6" s="173">
        <v>12884</v>
      </c>
      <c r="AK6" s="173">
        <v>14123</v>
      </c>
      <c r="AL6" s="173">
        <v>30381</v>
      </c>
      <c r="AM6" s="173">
        <v>0</v>
      </c>
      <c r="AN6" s="173">
        <v>0</v>
      </c>
      <c r="AO6" s="173"/>
      <c r="AP6" s="173"/>
      <c r="AQ6" s="173">
        <v>0</v>
      </c>
      <c r="AR6" s="173">
        <v>21362</v>
      </c>
      <c r="AS6" s="185">
        <f>SUM(AI6:AR6)</f>
        <v>103702</v>
      </c>
      <c r="AT6" s="192">
        <f>J6+R6+Z6+AH6+AS6</f>
        <v>267132</v>
      </c>
    </row>
    <row r="7" spans="1:46">
      <c r="A7" s="170" t="s">
        <v>12</v>
      </c>
      <c r="B7" s="165"/>
      <c r="C7" s="172"/>
      <c r="D7" s="173"/>
      <c r="E7" s="173"/>
      <c r="F7" s="173"/>
      <c r="G7" s="173">
        <v>0</v>
      </c>
      <c r="H7" s="173">
        <v>0</v>
      </c>
      <c r="I7" s="173">
        <v>0</v>
      </c>
      <c r="J7" s="185">
        <f>SUM(C7:I7)</f>
        <v>0</v>
      </c>
      <c r="K7" s="173"/>
      <c r="L7" s="173"/>
      <c r="M7" s="173"/>
      <c r="N7" s="173"/>
      <c r="O7" s="173"/>
      <c r="P7" s="173"/>
      <c r="Q7" s="173"/>
      <c r="R7" s="185">
        <f>SUM(K7:Q7)</f>
        <v>0</v>
      </c>
      <c r="S7" s="173"/>
      <c r="T7" s="173"/>
      <c r="U7" s="173"/>
      <c r="V7" s="173"/>
      <c r="W7" s="173"/>
      <c r="X7" s="173"/>
      <c r="Y7" s="173"/>
      <c r="Z7" s="185">
        <f>SUM(S7:Y7)</f>
        <v>0</v>
      </c>
      <c r="AA7" s="173"/>
      <c r="AB7" s="173"/>
      <c r="AC7" s="173"/>
      <c r="AD7" s="173"/>
      <c r="AE7" s="173"/>
      <c r="AF7" s="173"/>
      <c r="AG7" s="173"/>
      <c r="AH7" s="185">
        <f>SUM(AA7:AG7)</f>
        <v>0</v>
      </c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85">
        <f t="shared" ref="AS7" si="0">SUM(AI7:AR7)</f>
        <v>0</v>
      </c>
      <c r="AT7" s="192">
        <f t="shared" ref="AT7" si="1">J7+R7+Z7+AH7+AS7</f>
        <v>0</v>
      </c>
    </row>
    <row r="8" spans="1:46" ht="15.75" thickBot="1">
      <c r="A8" s="174" t="s">
        <v>13</v>
      </c>
      <c r="B8" s="173"/>
      <c r="C8" s="173"/>
      <c r="D8" s="173"/>
      <c r="E8" s="173"/>
      <c r="F8" s="173"/>
      <c r="G8" s="173">
        <f>'P2'!B6</f>
        <v>0</v>
      </c>
      <c r="H8" s="173">
        <f>'P2'!B6</f>
        <v>0</v>
      </c>
      <c r="I8" s="173">
        <f>'P2'!C6</f>
        <v>0</v>
      </c>
      <c r="J8" s="185">
        <f>SUM(C8:I8)</f>
        <v>0</v>
      </c>
      <c r="K8" s="173">
        <f>'P2'!D6</f>
        <v>4240</v>
      </c>
      <c r="L8" s="173">
        <f>'P2'!E6</f>
        <v>9599</v>
      </c>
      <c r="M8" s="173">
        <f>'P2'!F6</f>
        <v>0</v>
      </c>
      <c r="N8" s="173">
        <f>'P2'!G6</f>
        <v>0</v>
      </c>
      <c r="O8" s="173">
        <f>'P2'!H6</f>
        <v>0</v>
      </c>
      <c r="P8" s="173">
        <f>'P2'!I6</f>
        <v>0</v>
      </c>
      <c r="Q8" s="173">
        <f>'P2'!J6</f>
        <v>0</v>
      </c>
      <c r="R8" s="185">
        <f>SUM(K8:Q8)</f>
        <v>13839</v>
      </c>
      <c r="S8" s="173">
        <f>'P2'!K6</f>
        <v>0</v>
      </c>
      <c r="T8" s="173">
        <f>'P2'!L6</f>
        <v>4788</v>
      </c>
      <c r="U8" s="173">
        <f>'P2'!M6</f>
        <v>0</v>
      </c>
      <c r="V8" s="173">
        <f>'P2'!N6</f>
        <v>0</v>
      </c>
      <c r="W8" s="173">
        <f>'P2'!O6</f>
        <v>3690</v>
      </c>
      <c r="X8" s="173">
        <f>'P2'!P6</f>
        <v>0</v>
      </c>
      <c r="Y8" s="173">
        <f>'P2'!Q6</f>
        <v>0</v>
      </c>
      <c r="Z8" s="185">
        <f>SUM(S8:Y8)</f>
        <v>8478</v>
      </c>
      <c r="AA8" s="173">
        <f>'P2'!R6</f>
        <v>0</v>
      </c>
      <c r="AB8" s="173">
        <f>'P2'!S6</f>
        <v>10358</v>
      </c>
      <c r="AC8" s="173">
        <f>'P2'!T6</f>
        <v>10028</v>
      </c>
      <c r="AD8" s="173">
        <f>'P2'!U6</f>
        <v>0</v>
      </c>
      <c r="AE8" s="173">
        <f>'P2'!V6</f>
        <v>0</v>
      </c>
      <c r="AF8" s="173">
        <f>'P2'!W6</f>
        <v>0</v>
      </c>
      <c r="AG8" s="173">
        <f>'P2'!X6</f>
        <v>0</v>
      </c>
      <c r="AH8" s="185">
        <f>SUM(AA8:AG8)</f>
        <v>20386</v>
      </c>
      <c r="AI8" s="173">
        <f>'P2'!Y6</f>
        <v>0</v>
      </c>
      <c r="AJ8" s="173">
        <f>'P2'!Z6</f>
        <v>0</v>
      </c>
      <c r="AK8" s="173">
        <f>'P2'!AA6</f>
        <v>0</v>
      </c>
      <c r="AL8" s="173">
        <f>'P2'!AB6</f>
        <v>0</v>
      </c>
      <c r="AM8" s="173">
        <f>'P2'!AC6</f>
        <v>0</v>
      </c>
      <c r="AN8" s="173">
        <f>'P2'!AD6</f>
        <v>0</v>
      </c>
      <c r="AO8" s="173"/>
      <c r="AP8" s="173"/>
      <c r="AQ8" s="173">
        <f>'P2'!AE6</f>
        <v>0</v>
      </c>
      <c r="AR8" s="173">
        <f>'P2'!AF6</f>
        <v>9878</v>
      </c>
      <c r="AS8" s="185">
        <f>SUM(AI8:AR8)</f>
        <v>9878</v>
      </c>
      <c r="AT8" s="192">
        <f>J8+R8+Z8+AH8+AS8</f>
        <v>52581</v>
      </c>
    </row>
    <row r="9" spans="1:46" ht="15.75" thickBot="1">
      <c r="A9" s="164" t="s">
        <v>15</v>
      </c>
      <c r="B9" s="175" t="e">
        <f>B8/B6</f>
        <v>#DIV/0!</v>
      </c>
      <c r="C9" s="177" t="e">
        <f t="shared" ref="C9:AQ9" si="2">C8/C6</f>
        <v>#DIV/0!</v>
      </c>
      <c r="D9" s="177" t="e">
        <f t="shared" si="2"/>
        <v>#DIV/0!</v>
      </c>
      <c r="E9" s="177" t="e">
        <f t="shared" si="2"/>
        <v>#DIV/0!</v>
      </c>
      <c r="F9" s="177" t="e">
        <f t="shared" si="2"/>
        <v>#DIV/0!</v>
      </c>
      <c r="G9" s="177" t="e">
        <f t="shared" si="2"/>
        <v>#DIV/0!</v>
      </c>
      <c r="H9" s="177" t="e">
        <f t="shared" si="2"/>
        <v>#DIV/0!</v>
      </c>
      <c r="I9" s="177" t="e">
        <f t="shared" si="2"/>
        <v>#DIV/0!</v>
      </c>
      <c r="J9" s="176" t="e">
        <f t="shared" si="2"/>
        <v>#DIV/0!</v>
      </c>
      <c r="K9" s="177" t="e">
        <f t="shared" si="2"/>
        <v>#DIV/0!</v>
      </c>
      <c r="L9" s="177">
        <f t="shared" si="2"/>
        <v>0.83194661119778124</v>
      </c>
      <c r="M9" s="177">
        <f t="shared" si="2"/>
        <v>0</v>
      </c>
      <c r="N9" s="177">
        <f t="shared" si="2"/>
        <v>0</v>
      </c>
      <c r="O9" s="177" t="e">
        <f t="shared" si="2"/>
        <v>#DIV/0!</v>
      </c>
      <c r="P9" s="177" t="e">
        <f t="shared" si="2"/>
        <v>#DIV/0!</v>
      </c>
      <c r="Q9" s="177" t="e">
        <f t="shared" si="2"/>
        <v>#DIV/0!</v>
      </c>
      <c r="R9" s="176">
        <f t="shared" si="2"/>
        <v>0.35562122574842608</v>
      </c>
      <c r="S9" s="177">
        <f t="shared" si="2"/>
        <v>0</v>
      </c>
      <c r="T9" s="177">
        <f t="shared" si="2"/>
        <v>0.22053337018101424</v>
      </c>
      <c r="U9" s="177">
        <f t="shared" si="2"/>
        <v>0</v>
      </c>
      <c r="V9" s="177">
        <f t="shared" si="2"/>
        <v>0</v>
      </c>
      <c r="W9" s="177" t="e">
        <f t="shared" si="2"/>
        <v>#DIV/0!</v>
      </c>
      <c r="X9" s="177" t="e">
        <f t="shared" si="2"/>
        <v>#DIV/0!</v>
      </c>
      <c r="Y9" s="177" t="e">
        <f t="shared" si="2"/>
        <v>#DIV/0!</v>
      </c>
      <c r="Z9" s="176">
        <f t="shared" si="2"/>
        <v>0.11934121621621621</v>
      </c>
      <c r="AA9" s="177">
        <f t="shared" si="2"/>
        <v>0</v>
      </c>
      <c r="AB9" s="177">
        <f t="shared" si="2"/>
        <v>1.2506640907993238</v>
      </c>
      <c r="AC9" s="177">
        <f t="shared" si="2"/>
        <v>0.9690761499806726</v>
      </c>
      <c r="AD9" s="177">
        <f t="shared" si="2"/>
        <v>0</v>
      </c>
      <c r="AE9" s="177" t="e">
        <f t="shared" si="2"/>
        <v>#DIV/0!</v>
      </c>
      <c r="AF9" s="177" t="e">
        <f t="shared" si="2"/>
        <v>#DIV/0!</v>
      </c>
      <c r="AG9" s="177" t="e">
        <f t="shared" si="2"/>
        <v>#DIV/0!</v>
      </c>
      <c r="AH9" s="176">
        <f t="shared" si="2"/>
        <v>0.38122487143525013</v>
      </c>
      <c r="AI9" s="177">
        <f t="shared" si="2"/>
        <v>0</v>
      </c>
      <c r="AJ9" s="177">
        <f t="shared" si="2"/>
        <v>0</v>
      </c>
      <c r="AK9" s="177">
        <f t="shared" si="2"/>
        <v>0</v>
      </c>
      <c r="AL9" s="177">
        <f t="shared" si="2"/>
        <v>0</v>
      </c>
      <c r="AM9" s="177" t="e">
        <f t="shared" si="2"/>
        <v>#DIV/0!</v>
      </c>
      <c r="AN9" s="177" t="e">
        <f t="shared" si="2"/>
        <v>#DIV/0!</v>
      </c>
      <c r="AO9" s="177"/>
      <c r="AP9" s="177"/>
      <c r="AQ9" s="177" t="e">
        <f t="shared" si="2"/>
        <v>#DIV/0!</v>
      </c>
      <c r="AR9" s="177">
        <f t="shared" ref="AR9" si="3">AR8/AR6</f>
        <v>0.4624098867147271</v>
      </c>
      <c r="AS9" s="176">
        <f>AS8/AS6</f>
        <v>9.5253707739484286E-2</v>
      </c>
      <c r="AT9" s="193">
        <f>AT8/AT6</f>
        <v>0.19683527244957549</v>
      </c>
    </row>
    <row r="10" spans="1:46">
      <c r="A10" s="151"/>
      <c r="B10" s="151"/>
      <c r="C10" s="178"/>
      <c r="D10" s="178"/>
      <c r="E10" s="178"/>
      <c r="F10" s="178"/>
      <c r="G10" s="178"/>
      <c r="H10" s="186"/>
      <c r="I10" s="178"/>
      <c r="J10" s="151"/>
      <c r="K10" s="178"/>
      <c r="L10" s="178"/>
      <c r="M10" s="178"/>
      <c r="N10" s="178"/>
      <c r="O10" s="178"/>
      <c r="P10" s="178"/>
      <c r="Q10" s="188"/>
      <c r="R10" s="151"/>
      <c r="S10" s="189"/>
      <c r="T10" s="189"/>
      <c r="U10" s="189"/>
      <c r="V10" s="189"/>
      <c r="W10" s="189"/>
      <c r="X10" s="189"/>
      <c r="Y10" s="189"/>
      <c r="Z10" s="151"/>
      <c r="AA10" s="188"/>
      <c r="AB10" s="178"/>
      <c r="AC10" s="178"/>
      <c r="AD10" s="178"/>
      <c r="AE10" s="178"/>
      <c r="AF10" s="178"/>
      <c r="AG10" s="178"/>
      <c r="AH10" s="151"/>
      <c r="AI10" s="178"/>
      <c r="AJ10" s="188"/>
      <c r="AK10" s="189"/>
      <c r="AL10" s="189"/>
      <c r="AM10" s="189"/>
      <c r="AN10" s="189"/>
      <c r="AO10" s="189"/>
      <c r="AP10" s="189"/>
      <c r="AQ10" s="189"/>
      <c r="AS10" s="151"/>
      <c r="AT10" s="47"/>
    </row>
    <row r="11" spans="1:46">
      <c r="A11" s="151"/>
      <c r="B11" s="179"/>
      <c r="C11" s="180"/>
      <c r="D11" s="180"/>
      <c r="E11" s="180"/>
      <c r="F11" s="180"/>
      <c r="G11" s="180"/>
      <c r="H11" s="311"/>
      <c r="I11" s="180"/>
      <c r="J11" s="179"/>
      <c r="K11" s="180"/>
      <c r="L11" s="180"/>
      <c r="M11" s="180"/>
      <c r="N11" s="180"/>
      <c r="O11" s="180"/>
      <c r="P11" s="180"/>
      <c r="Q11" s="187"/>
      <c r="R11" s="179"/>
      <c r="S11" s="180"/>
      <c r="T11" s="180"/>
      <c r="U11" s="180"/>
      <c r="V11" s="180"/>
      <c r="W11" s="180"/>
      <c r="X11" s="180"/>
      <c r="Y11" s="180"/>
      <c r="Z11" s="179"/>
      <c r="AA11" s="187"/>
      <c r="AB11" s="180"/>
      <c r="AC11" s="180"/>
      <c r="AD11" s="180"/>
      <c r="AE11" s="180"/>
      <c r="AF11" s="180"/>
      <c r="AG11" s="180"/>
      <c r="AH11" s="179"/>
      <c r="AI11" s="180"/>
      <c r="AJ11" s="187"/>
      <c r="AK11" s="180"/>
      <c r="AL11" s="180"/>
      <c r="AM11" s="180"/>
      <c r="AN11" s="180"/>
      <c r="AO11" s="180"/>
      <c r="AP11" s="180"/>
      <c r="AQ11" s="180"/>
      <c r="AS11" s="194" t="s">
        <v>16</v>
      </c>
      <c r="AT11" s="121"/>
    </row>
    <row r="12" spans="1:46">
      <c r="B12" s="181"/>
      <c r="C12" s="160"/>
      <c r="D12" s="182"/>
      <c r="E12" s="160"/>
      <c r="F12" s="160"/>
      <c r="G12" s="182"/>
      <c r="H12" s="182"/>
      <c r="I12" s="182"/>
      <c r="J12" s="181"/>
      <c r="K12" s="182"/>
      <c r="L12" s="182"/>
      <c r="M12" s="160"/>
      <c r="N12" s="160"/>
      <c r="O12" s="182"/>
      <c r="P12" s="182"/>
      <c r="Q12" s="160"/>
      <c r="R12" s="181"/>
      <c r="S12" s="160"/>
      <c r="T12" s="160"/>
      <c r="U12" s="160"/>
      <c r="V12" s="160"/>
      <c r="W12" s="160"/>
      <c r="X12" s="160"/>
      <c r="Y12" s="160"/>
      <c r="Z12" s="181"/>
      <c r="AA12" s="160"/>
      <c r="AB12" s="160"/>
      <c r="AC12" s="160"/>
      <c r="AD12" s="160"/>
      <c r="AE12" s="160"/>
      <c r="AF12" s="160"/>
      <c r="AG12" s="160"/>
      <c r="AH12" s="181"/>
      <c r="AI12" s="160"/>
      <c r="AJ12" s="160"/>
      <c r="AK12" s="160"/>
      <c r="AL12" s="160"/>
      <c r="AM12" s="190"/>
      <c r="AN12" s="160"/>
      <c r="AO12" s="160"/>
      <c r="AP12" s="160"/>
      <c r="AQ12" s="160"/>
      <c r="AS12" s="195" t="s">
        <v>17</v>
      </c>
      <c r="AT12" s="196"/>
    </row>
    <row r="13" spans="1:46" ht="15.75" thickBot="1">
      <c r="A13" s="304" t="s">
        <v>18</v>
      </c>
      <c r="B13" s="163" t="s">
        <v>2</v>
      </c>
      <c r="C13" s="163" t="s">
        <v>3</v>
      </c>
      <c r="D13" s="163" t="s">
        <v>4</v>
      </c>
      <c r="E13" s="163" t="s">
        <v>4</v>
      </c>
      <c r="F13" s="163" t="s">
        <v>5</v>
      </c>
      <c r="G13" s="163" t="s">
        <v>6</v>
      </c>
      <c r="H13" s="163" t="s">
        <v>7</v>
      </c>
      <c r="I13" s="163" t="s">
        <v>2</v>
      </c>
      <c r="J13" s="163"/>
      <c r="K13" s="163" t="s">
        <v>3</v>
      </c>
      <c r="L13" s="163" t="s">
        <v>4</v>
      </c>
      <c r="M13" s="163" t="s">
        <v>4</v>
      </c>
      <c r="N13" s="163" t="s">
        <v>5</v>
      </c>
      <c r="O13" s="163" t="s">
        <v>6</v>
      </c>
      <c r="P13" s="163" t="s">
        <v>7</v>
      </c>
      <c r="Q13" s="163" t="s">
        <v>2</v>
      </c>
      <c r="R13" s="163"/>
      <c r="S13" s="163" t="s">
        <v>3</v>
      </c>
      <c r="T13" s="163" t="s">
        <v>4</v>
      </c>
      <c r="U13" s="163" t="s">
        <v>4</v>
      </c>
      <c r="V13" s="163" t="s">
        <v>5</v>
      </c>
      <c r="W13" s="163" t="s">
        <v>6</v>
      </c>
      <c r="X13" s="163" t="s">
        <v>7</v>
      </c>
      <c r="Y13" s="163" t="s">
        <v>2</v>
      </c>
      <c r="Z13" s="163"/>
      <c r="AA13" s="163" t="s">
        <v>3</v>
      </c>
      <c r="AB13" s="163" t="s">
        <v>4</v>
      </c>
      <c r="AC13" s="163" t="s">
        <v>4</v>
      </c>
      <c r="AD13" s="163" t="s">
        <v>5</v>
      </c>
      <c r="AE13" s="163" t="s">
        <v>6</v>
      </c>
      <c r="AF13" s="163" t="s">
        <v>7</v>
      </c>
      <c r="AG13" s="163" t="s">
        <v>2</v>
      </c>
      <c r="AH13" s="163"/>
      <c r="AI13" s="163" t="s">
        <v>3</v>
      </c>
      <c r="AJ13" s="163" t="s">
        <v>4</v>
      </c>
      <c r="AK13" s="163" t="s">
        <v>4</v>
      </c>
      <c r="AL13" s="163" t="s">
        <v>5</v>
      </c>
      <c r="AM13" s="163" t="s">
        <v>6</v>
      </c>
      <c r="AN13" s="163" t="s">
        <v>7</v>
      </c>
      <c r="AO13" s="163"/>
      <c r="AP13" s="163"/>
      <c r="AQ13" s="163" t="s">
        <v>2</v>
      </c>
      <c r="AR13" s="151"/>
    </row>
    <row r="14" spans="1:46">
      <c r="A14" s="164" t="s">
        <v>8</v>
      </c>
      <c r="B14" s="183"/>
      <c r="C14" s="169"/>
      <c r="D14" s="169">
        <v>44593</v>
      </c>
      <c r="E14" s="169">
        <v>44594</v>
      </c>
      <c r="F14" s="169">
        <v>44595</v>
      </c>
      <c r="G14" s="169">
        <v>44596</v>
      </c>
      <c r="H14" s="169">
        <v>44597</v>
      </c>
      <c r="I14" s="169">
        <v>44598</v>
      </c>
      <c r="J14" s="166" t="s">
        <v>9</v>
      </c>
      <c r="K14" s="169">
        <v>44599</v>
      </c>
      <c r="L14" s="169">
        <v>44600</v>
      </c>
      <c r="M14" s="169">
        <v>44601</v>
      </c>
      <c r="N14" s="169">
        <v>44602</v>
      </c>
      <c r="O14" s="169">
        <v>44603</v>
      </c>
      <c r="P14" s="169">
        <v>44604</v>
      </c>
      <c r="Q14" s="169">
        <v>44605</v>
      </c>
      <c r="R14" s="166" t="s">
        <v>9</v>
      </c>
      <c r="S14" s="169">
        <v>44606</v>
      </c>
      <c r="T14" s="169">
        <v>44607</v>
      </c>
      <c r="U14" s="169">
        <v>44608</v>
      </c>
      <c r="V14" s="169">
        <v>44609</v>
      </c>
      <c r="W14" s="169">
        <v>44610</v>
      </c>
      <c r="X14" s="169">
        <v>44611</v>
      </c>
      <c r="Y14" s="169">
        <v>44612</v>
      </c>
      <c r="Z14" s="166" t="s">
        <v>9</v>
      </c>
      <c r="AA14" s="169">
        <v>44613</v>
      </c>
      <c r="AB14" s="169">
        <v>44614</v>
      </c>
      <c r="AC14" s="169">
        <v>44615</v>
      </c>
      <c r="AD14" s="169">
        <v>44616</v>
      </c>
      <c r="AE14" s="169">
        <v>44617</v>
      </c>
      <c r="AF14" s="169">
        <v>44618</v>
      </c>
      <c r="AG14" s="169">
        <v>44619</v>
      </c>
      <c r="AH14" s="166" t="s">
        <v>9</v>
      </c>
      <c r="AI14" s="169">
        <v>44620</v>
      </c>
      <c r="AJ14" s="169"/>
      <c r="AK14" s="169"/>
      <c r="AL14" s="169"/>
      <c r="AM14" s="169"/>
      <c r="AN14" s="169"/>
      <c r="AO14" s="169"/>
      <c r="AP14" s="169"/>
      <c r="AQ14" s="169"/>
      <c r="AR14" s="166" t="s">
        <v>9</v>
      </c>
      <c r="AS14" s="191" t="s">
        <v>10</v>
      </c>
    </row>
    <row r="15" spans="1:46">
      <c r="A15" s="170" t="s">
        <v>11</v>
      </c>
      <c r="B15" s="165"/>
      <c r="C15" s="172"/>
      <c r="D15" s="173">
        <v>15903</v>
      </c>
      <c r="E15" s="173">
        <v>17059</v>
      </c>
      <c r="F15" s="173">
        <v>15771</v>
      </c>
      <c r="G15" s="173">
        <v>700</v>
      </c>
      <c r="H15" s="173">
        <v>0</v>
      </c>
      <c r="I15" s="173">
        <v>0</v>
      </c>
      <c r="J15" s="185">
        <f>SUM(C15:I15)</f>
        <v>49433</v>
      </c>
      <c r="K15" s="173">
        <v>10782</v>
      </c>
      <c r="L15" s="173">
        <v>17009</v>
      </c>
      <c r="M15" s="173">
        <v>17009</v>
      </c>
      <c r="N15" s="173">
        <v>4459</v>
      </c>
      <c r="O15" s="173">
        <v>0</v>
      </c>
      <c r="P15" s="173">
        <v>0</v>
      </c>
      <c r="Q15" s="173">
        <v>0</v>
      </c>
      <c r="R15" s="185">
        <f>SUM(K15:Q15)</f>
        <v>49259</v>
      </c>
      <c r="S15" s="173">
        <v>9771.7701799999995</v>
      </c>
      <c r="T15" s="173">
        <v>11835.875620000001</v>
      </c>
      <c r="U15" s="173">
        <v>7579.1895439999998</v>
      </c>
      <c r="V15" s="173">
        <v>8185.8303100000003</v>
      </c>
      <c r="W15" s="173"/>
      <c r="X15" s="173"/>
      <c r="Y15" s="173"/>
      <c r="Z15" s="185">
        <f>SUM(S15:Y15)</f>
        <v>37372.665653999997</v>
      </c>
      <c r="AA15" s="173">
        <v>13586.339690000001</v>
      </c>
      <c r="AB15" s="173">
        <v>6044.2255649999997</v>
      </c>
      <c r="AC15" s="173">
        <v>7699.6643022999997</v>
      </c>
      <c r="AD15" s="173">
        <v>2419.5068249999999</v>
      </c>
      <c r="AE15" s="173">
        <v>0</v>
      </c>
      <c r="AF15" s="173">
        <v>0</v>
      </c>
      <c r="AG15" s="173">
        <v>0</v>
      </c>
      <c r="AH15" s="185">
        <f>SUM(AA15:AG15)</f>
        <v>29749.736382300001</v>
      </c>
      <c r="AI15" s="173">
        <v>3931.170517</v>
      </c>
      <c r="AJ15" s="173"/>
      <c r="AK15" s="173"/>
      <c r="AL15" s="173"/>
      <c r="AM15" s="173"/>
      <c r="AN15" s="173"/>
      <c r="AO15" s="173"/>
      <c r="AP15" s="173"/>
      <c r="AQ15" s="173"/>
      <c r="AR15" s="185">
        <f>AI15</f>
        <v>3931.170517</v>
      </c>
      <c r="AS15" s="192">
        <f>J15+R15+Z15+AH15+AR15</f>
        <v>169745.57255330001</v>
      </c>
    </row>
    <row r="16" spans="1:46">
      <c r="A16" s="170" t="s">
        <v>12</v>
      </c>
      <c r="B16" s="165"/>
      <c r="C16" s="172"/>
      <c r="D16" s="173"/>
      <c r="E16" s="173"/>
      <c r="F16" s="173"/>
      <c r="G16" s="173"/>
      <c r="H16" s="173"/>
      <c r="I16" s="173"/>
      <c r="J16" s="185">
        <f>SUM(C16:I16)</f>
        <v>0</v>
      </c>
      <c r="K16" s="173"/>
      <c r="L16" s="173"/>
      <c r="M16" s="173"/>
      <c r="N16" s="173"/>
      <c r="O16" s="173"/>
      <c r="P16" s="173"/>
      <c r="Q16" s="173"/>
      <c r="R16" s="185">
        <f>SUM(K16:Q16)</f>
        <v>0</v>
      </c>
      <c r="S16" s="173"/>
      <c r="T16" s="173"/>
      <c r="U16" s="173"/>
      <c r="V16" s="173"/>
      <c r="W16" s="173"/>
      <c r="X16" s="173"/>
      <c r="Y16" s="173"/>
      <c r="Z16" s="185">
        <f>SUM(S16:Y16)</f>
        <v>0</v>
      </c>
      <c r="AA16" s="173"/>
      <c r="AB16" s="173"/>
      <c r="AC16" s="173"/>
      <c r="AD16" s="173"/>
      <c r="AE16" s="173"/>
      <c r="AF16" s="173"/>
      <c r="AG16" s="173"/>
      <c r="AH16" s="185">
        <f>SUM(AA16:AG16)</f>
        <v>0</v>
      </c>
      <c r="AI16" s="173"/>
      <c r="AJ16" s="173"/>
      <c r="AK16" s="173"/>
      <c r="AL16" s="173"/>
      <c r="AM16" s="173"/>
      <c r="AN16" s="173"/>
      <c r="AO16" s="173"/>
      <c r="AP16" s="173"/>
      <c r="AQ16" s="173"/>
      <c r="AR16" s="185">
        <f t="shared" ref="AR16:AR17" si="4">AI16</f>
        <v>0</v>
      </c>
      <c r="AS16" s="192">
        <f t="shared" ref="AS16" si="5">J16+R16+Z16+AH16+AR16</f>
        <v>0</v>
      </c>
    </row>
    <row r="17" spans="1:45">
      <c r="A17" s="174" t="s">
        <v>13</v>
      </c>
      <c r="B17" s="173"/>
      <c r="C17" s="173"/>
      <c r="D17" s="173">
        <f>'P2'!B15</f>
        <v>10206</v>
      </c>
      <c r="E17" s="173">
        <f>'P2'!C15</f>
        <v>13983</v>
      </c>
      <c r="F17" s="173">
        <f>'P2'!D15</f>
        <v>0</v>
      </c>
      <c r="G17" s="173">
        <f>'P2'!E15</f>
        <v>0</v>
      </c>
      <c r="H17" s="173">
        <f>'P2'!F15</f>
        <v>0</v>
      </c>
      <c r="I17" s="173">
        <f>'P2'!G15</f>
        <v>0</v>
      </c>
      <c r="J17" s="185">
        <f>SUM(C17:I17)</f>
        <v>24189</v>
      </c>
      <c r="K17" s="173">
        <f>'P2'!H15</f>
        <v>0</v>
      </c>
      <c r="L17" s="173">
        <f>'P2'!I15</f>
        <v>0</v>
      </c>
      <c r="M17" s="173">
        <f>'P2'!J15</f>
        <v>10188</v>
      </c>
      <c r="N17" s="173">
        <f>'P2'!K15</f>
        <v>0</v>
      </c>
      <c r="O17" s="173">
        <f>'P2'!L15</f>
        <v>0</v>
      </c>
      <c r="P17" s="173">
        <f>'P2'!M15</f>
        <v>0</v>
      </c>
      <c r="Q17" s="173">
        <f>'P2'!N15</f>
        <v>0</v>
      </c>
      <c r="R17" s="185">
        <f>SUM(K17:Q17)</f>
        <v>10188</v>
      </c>
      <c r="S17" s="173">
        <f>'P2'!O15</f>
        <v>0</v>
      </c>
      <c r="T17" s="173">
        <f>'P2'!P15</f>
        <v>8603</v>
      </c>
      <c r="U17" s="173">
        <f>'P2'!Q15</f>
        <v>0</v>
      </c>
      <c r="V17" s="173">
        <f>'P2'!R15</f>
        <v>0</v>
      </c>
      <c r="W17" s="173">
        <f>'P2'!S15</f>
        <v>0</v>
      </c>
      <c r="X17" s="173">
        <f>'P2'!T15</f>
        <v>0</v>
      </c>
      <c r="Y17" s="173">
        <f>'P2'!U15</f>
        <v>0</v>
      </c>
      <c r="Z17" s="185">
        <f>SUM(S17:Y17)</f>
        <v>8603</v>
      </c>
      <c r="AA17" s="173">
        <f>'P2'!V15</f>
        <v>0</v>
      </c>
      <c r="AB17" s="173">
        <f>'P2'!W15</f>
        <v>8750</v>
      </c>
      <c r="AC17" s="173">
        <f>'P2'!X15</f>
        <v>2700</v>
      </c>
      <c r="AD17" s="173">
        <f>'P2'!Y15</f>
        <v>0</v>
      </c>
      <c r="AE17" s="173">
        <f>'P2'!Z15</f>
        <v>0</v>
      </c>
      <c r="AF17" s="173">
        <f>'P2'!AA15</f>
        <v>0</v>
      </c>
      <c r="AG17" s="173">
        <f>'P2'!AB15</f>
        <v>0</v>
      </c>
      <c r="AH17" s="185">
        <f>SUM(AA17:AG17)</f>
        <v>11450</v>
      </c>
      <c r="AI17" s="173">
        <f>'P2'!AC15</f>
        <v>0</v>
      </c>
      <c r="AJ17" s="173">
        <f>'P2'!AE15</f>
        <v>0</v>
      </c>
      <c r="AK17" s="173">
        <f>'P2'!AF15</f>
        <v>0</v>
      </c>
      <c r="AL17" s="173">
        <f>'P2'!AG15</f>
        <v>0</v>
      </c>
      <c r="AM17" s="173">
        <f>'P2'!AH15</f>
        <v>0</v>
      </c>
      <c r="AN17" s="173">
        <f>'P2'!AI15</f>
        <v>0</v>
      </c>
      <c r="AO17" s="173"/>
      <c r="AP17" s="173"/>
      <c r="AQ17" s="173">
        <f>'P2'!AJ15</f>
        <v>0</v>
      </c>
      <c r="AR17" s="185">
        <f t="shared" si="4"/>
        <v>0</v>
      </c>
      <c r="AS17" s="192">
        <f>J17+R17+Z17+AH17+AR17</f>
        <v>54430</v>
      </c>
    </row>
    <row r="18" spans="1:45">
      <c r="A18" s="164" t="s">
        <v>15</v>
      </c>
      <c r="B18" s="175" t="e">
        <f>B17/B15</f>
        <v>#DIV/0!</v>
      </c>
      <c r="C18" s="177" t="e">
        <f t="shared" ref="C18:J18" si="6">C17/C15</f>
        <v>#DIV/0!</v>
      </c>
      <c r="D18" s="177">
        <f>D17/D15</f>
        <v>0.6417657045840407</v>
      </c>
      <c r="E18" s="177">
        <f t="shared" si="6"/>
        <v>0.81968462395216601</v>
      </c>
      <c r="F18" s="177">
        <f t="shared" si="6"/>
        <v>0</v>
      </c>
      <c r="G18" s="177">
        <f t="shared" si="6"/>
        <v>0</v>
      </c>
      <c r="H18" s="177" t="e">
        <f t="shared" si="6"/>
        <v>#DIV/0!</v>
      </c>
      <c r="I18" s="177" t="e">
        <f t="shared" si="6"/>
        <v>#DIV/0!</v>
      </c>
      <c r="J18" s="176">
        <f t="shared" si="6"/>
        <v>0.48932899075516356</v>
      </c>
      <c r="K18" s="177">
        <f t="shared" ref="K18:R18" si="7">K17/K15</f>
        <v>0</v>
      </c>
      <c r="L18" s="177">
        <f t="shared" si="7"/>
        <v>0</v>
      </c>
      <c r="M18" s="177">
        <f t="shared" si="7"/>
        <v>0.59897701217002763</v>
      </c>
      <c r="N18" s="177">
        <f t="shared" si="7"/>
        <v>0</v>
      </c>
      <c r="O18" s="177" t="e">
        <f t="shared" si="7"/>
        <v>#DIV/0!</v>
      </c>
      <c r="P18" s="177" t="e">
        <f t="shared" si="7"/>
        <v>#DIV/0!</v>
      </c>
      <c r="Q18" s="177" t="e">
        <f t="shared" si="7"/>
        <v>#DIV/0!</v>
      </c>
      <c r="R18" s="176">
        <f t="shared" si="7"/>
        <v>0.20682514870379018</v>
      </c>
      <c r="S18" s="177">
        <f>S17/S15</f>
        <v>0</v>
      </c>
      <c r="T18" s="177">
        <f>T17/T15</f>
        <v>0.72685792553132622</v>
      </c>
      <c r="U18" s="177">
        <f t="shared" ref="U18:Z18" si="8">U17/U15</f>
        <v>0</v>
      </c>
      <c r="V18" s="177">
        <f t="shared" si="8"/>
        <v>0</v>
      </c>
      <c r="W18" s="177" t="e">
        <f t="shared" si="8"/>
        <v>#DIV/0!</v>
      </c>
      <c r="X18" s="177" t="e">
        <f t="shared" si="8"/>
        <v>#DIV/0!</v>
      </c>
      <c r="Y18" s="177" t="e">
        <f t="shared" si="8"/>
        <v>#DIV/0!</v>
      </c>
      <c r="Z18" s="176">
        <f t="shared" si="8"/>
        <v>0.23019497939075215</v>
      </c>
      <c r="AA18" s="177">
        <f t="shared" ref="AA18:AH18" si="9">AA17/AA15</f>
        <v>0</v>
      </c>
      <c r="AB18" s="177">
        <f>AB17/AB15</f>
        <v>1.4476627164062499</v>
      </c>
      <c r="AC18" s="177">
        <f t="shared" si="9"/>
        <v>0.3506646386120329</v>
      </c>
      <c r="AD18" s="177">
        <f t="shared" si="9"/>
        <v>0</v>
      </c>
      <c r="AE18" s="177" t="e">
        <f t="shared" si="9"/>
        <v>#DIV/0!</v>
      </c>
      <c r="AF18" s="177" t="e">
        <f t="shared" si="9"/>
        <v>#DIV/0!</v>
      </c>
      <c r="AG18" s="177" t="e">
        <f t="shared" si="9"/>
        <v>#DIV/0!</v>
      </c>
      <c r="AH18" s="176">
        <f t="shared" si="9"/>
        <v>0.38487736001628331</v>
      </c>
      <c r="AI18" s="177">
        <f t="shared" ref="AI18:AS18" si="10">AI17/AI15</f>
        <v>0</v>
      </c>
      <c r="AJ18" s="177" t="e">
        <f t="shared" si="10"/>
        <v>#DIV/0!</v>
      </c>
      <c r="AK18" s="177" t="e">
        <f t="shared" si="10"/>
        <v>#DIV/0!</v>
      </c>
      <c r="AL18" s="177" t="e">
        <f t="shared" si="10"/>
        <v>#DIV/0!</v>
      </c>
      <c r="AM18" s="177" t="e">
        <f t="shared" si="10"/>
        <v>#DIV/0!</v>
      </c>
      <c r="AN18" s="177" t="e">
        <f t="shared" si="10"/>
        <v>#DIV/0!</v>
      </c>
      <c r="AO18" s="177"/>
      <c r="AP18" s="177"/>
      <c r="AQ18" s="177" t="e">
        <f t="shared" si="10"/>
        <v>#DIV/0!</v>
      </c>
      <c r="AR18" s="176">
        <f t="shared" si="10"/>
        <v>0</v>
      </c>
      <c r="AS18" s="193">
        <f t="shared" si="10"/>
        <v>0.32065637519299073</v>
      </c>
    </row>
    <row r="19" spans="1:45">
      <c r="B19" s="151"/>
      <c r="C19" s="178"/>
      <c r="D19" s="178"/>
      <c r="E19" s="178"/>
      <c r="F19" s="178"/>
      <c r="G19" s="178"/>
      <c r="H19" s="186"/>
      <c r="I19" s="178"/>
      <c r="J19" s="151"/>
      <c r="K19" s="178"/>
      <c r="L19" s="178"/>
      <c r="M19" s="178"/>
      <c r="N19" s="178"/>
      <c r="O19" s="178"/>
      <c r="P19" s="178"/>
      <c r="Q19" s="188"/>
      <c r="R19" s="151"/>
      <c r="S19" s="189"/>
      <c r="T19" s="189"/>
      <c r="U19" s="189"/>
      <c r="V19" s="189"/>
      <c r="W19" s="189"/>
      <c r="X19" s="189"/>
      <c r="Y19" s="189"/>
      <c r="Z19" s="151"/>
      <c r="AA19" s="188"/>
      <c r="AB19" s="178"/>
      <c r="AC19" s="178"/>
      <c r="AD19" s="178"/>
      <c r="AE19" s="178"/>
      <c r="AF19" s="178"/>
      <c r="AG19" s="178"/>
      <c r="AH19" s="151"/>
      <c r="AI19" s="178"/>
      <c r="AJ19" s="188"/>
      <c r="AK19" s="189"/>
      <c r="AL19" s="189"/>
      <c r="AM19" s="189"/>
      <c r="AN19" s="189"/>
      <c r="AO19" s="189"/>
      <c r="AP19" s="189"/>
      <c r="AQ19" s="189"/>
      <c r="AR19" s="151"/>
      <c r="AS19" s="47"/>
    </row>
    <row r="20" spans="1:45">
      <c r="B20" s="179"/>
      <c r="C20" s="180"/>
      <c r="D20" s="180"/>
      <c r="E20" s="180"/>
      <c r="F20" s="180"/>
      <c r="G20" s="180"/>
      <c r="H20" s="187"/>
      <c r="I20" s="180"/>
      <c r="J20" s="179"/>
      <c r="K20" s="180"/>
      <c r="L20" s="180"/>
      <c r="M20" s="180"/>
      <c r="N20" s="180"/>
      <c r="O20" s="180"/>
      <c r="P20" s="180"/>
      <c r="Q20" s="187"/>
      <c r="R20" s="179"/>
      <c r="S20" s="180"/>
      <c r="T20" s="180"/>
      <c r="U20" s="180"/>
      <c r="V20" s="180"/>
      <c r="W20" s="180"/>
      <c r="X20" s="180"/>
      <c r="Y20" s="180"/>
      <c r="Z20" s="179"/>
      <c r="AA20" s="187"/>
      <c r="AB20" s="180"/>
      <c r="AC20" s="180"/>
      <c r="AD20" s="180"/>
      <c r="AE20" s="180"/>
      <c r="AF20" s="180"/>
      <c r="AG20" s="180"/>
      <c r="AH20" s="179"/>
      <c r="AI20" s="180"/>
      <c r="AJ20" s="187"/>
      <c r="AK20" s="180"/>
      <c r="AL20" s="180"/>
      <c r="AM20" s="180"/>
      <c r="AN20" s="180"/>
      <c r="AO20" s="180"/>
      <c r="AP20" s="180"/>
      <c r="AQ20" s="180"/>
      <c r="AR20" s="194" t="s">
        <v>16</v>
      </c>
      <c r="AS20" s="121"/>
    </row>
    <row r="21" spans="1:45">
      <c r="B21" s="181"/>
      <c r="C21" s="160"/>
      <c r="D21" s="182"/>
      <c r="E21" s="160"/>
      <c r="F21" s="160"/>
      <c r="G21" s="182"/>
      <c r="H21" s="182"/>
      <c r="I21" s="182"/>
      <c r="J21" s="181"/>
      <c r="K21" s="182"/>
      <c r="L21" s="182"/>
      <c r="M21" s="160"/>
      <c r="N21" s="160"/>
      <c r="O21" s="182"/>
      <c r="P21" s="182"/>
      <c r="Q21" s="160"/>
      <c r="R21" s="181"/>
      <c r="S21" s="160"/>
      <c r="T21" s="160"/>
      <c r="U21" s="160"/>
      <c r="V21" s="160"/>
      <c r="W21" s="160"/>
      <c r="X21" s="160"/>
      <c r="Y21" s="160"/>
      <c r="Z21" s="181"/>
      <c r="AA21" s="160"/>
      <c r="AB21" s="160"/>
      <c r="AC21" s="160"/>
      <c r="AD21" s="160"/>
      <c r="AE21" s="160"/>
      <c r="AF21" s="160"/>
      <c r="AG21" s="160"/>
      <c r="AH21" s="181"/>
      <c r="AI21" s="160"/>
      <c r="AJ21" s="160"/>
      <c r="AK21" s="160"/>
      <c r="AL21" s="160"/>
      <c r="AM21" s="190"/>
      <c r="AN21" s="160"/>
      <c r="AO21" s="160"/>
      <c r="AP21" s="160"/>
      <c r="AQ21" s="160"/>
      <c r="AR21" s="195" t="s">
        <v>17</v>
      </c>
      <c r="AS21" s="196"/>
    </row>
    <row r="22" spans="1:45">
      <c r="A22" s="304" t="s">
        <v>19</v>
      </c>
      <c r="B22" s="163" t="s">
        <v>2</v>
      </c>
      <c r="C22" s="163" t="s">
        <v>3</v>
      </c>
      <c r="D22" s="163" t="s">
        <v>4</v>
      </c>
      <c r="E22" s="163" t="s">
        <v>4</v>
      </c>
      <c r="F22" s="163" t="s">
        <v>5</v>
      </c>
      <c r="G22" s="163" t="s">
        <v>6</v>
      </c>
      <c r="H22" s="163" t="s">
        <v>7</v>
      </c>
      <c r="I22" s="163" t="s">
        <v>2</v>
      </c>
      <c r="J22" s="163"/>
      <c r="K22" s="163" t="s">
        <v>3</v>
      </c>
      <c r="L22" s="163" t="s">
        <v>4</v>
      </c>
      <c r="M22" s="163" t="s">
        <v>4</v>
      </c>
      <c r="N22" s="163" t="s">
        <v>5</v>
      </c>
      <c r="O22" s="163" t="s">
        <v>6</v>
      </c>
      <c r="P22" s="163" t="s">
        <v>7</v>
      </c>
      <c r="Q22" s="163" t="s">
        <v>2</v>
      </c>
      <c r="R22" s="163"/>
      <c r="S22" s="163" t="s">
        <v>3</v>
      </c>
      <c r="T22" s="163" t="s">
        <v>4</v>
      </c>
      <c r="U22" s="163" t="s">
        <v>4</v>
      </c>
      <c r="V22" s="163" t="s">
        <v>5</v>
      </c>
      <c r="W22" s="163" t="s">
        <v>6</v>
      </c>
      <c r="X22" s="163" t="s">
        <v>7</v>
      </c>
      <c r="Y22" s="163" t="s">
        <v>2</v>
      </c>
      <c r="Z22" s="163"/>
      <c r="AA22" s="163" t="s">
        <v>3</v>
      </c>
      <c r="AB22" s="163" t="s">
        <v>4</v>
      </c>
      <c r="AC22" s="163" t="s">
        <v>4</v>
      </c>
      <c r="AD22" s="163" t="s">
        <v>5</v>
      </c>
      <c r="AE22" s="163" t="s">
        <v>6</v>
      </c>
      <c r="AF22" s="163" t="s">
        <v>7</v>
      </c>
      <c r="AG22" s="163" t="s">
        <v>2</v>
      </c>
      <c r="AH22" s="163"/>
      <c r="AI22" s="163" t="s">
        <v>3</v>
      </c>
      <c r="AJ22" s="163" t="s">
        <v>4</v>
      </c>
      <c r="AK22" s="163" t="s">
        <v>4</v>
      </c>
      <c r="AL22" s="163" t="s">
        <v>5</v>
      </c>
      <c r="AM22" s="163" t="s">
        <v>6</v>
      </c>
      <c r="AN22" s="163" t="s">
        <v>7</v>
      </c>
      <c r="AO22" s="163"/>
      <c r="AP22" s="163"/>
      <c r="AQ22" s="163" t="s">
        <v>2</v>
      </c>
      <c r="AR22" s="151"/>
      <c r="AS22" s="47"/>
    </row>
    <row r="23" spans="1:45">
      <c r="A23" s="164" t="s">
        <v>8</v>
      </c>
      <c r="B23" s="183"/>
      <c r="C23" s="169"/>
      <c r="D23" s="169">
        <v>44621</v>
      </c>
      <c r="E23" s="169">
        <v>44622</v>
      </c>
      <c r="F23" s="169">
        <v>44623</v>
      </c>
      <c r="G23" s="169">
        <v>44624</v>
      </c>
      <c r="H23" s="169">
        <v>44625</v>
      </c>
      <c r="I23" s="169">
        <v>44626</v>
      </c>
      <c r="J23" s="166" t="s">
        <v>9</v>
      </c>
      <c r="K23" s="169">
        <v>44627</v>
      </c>
      <c r="L23" s="169">
        <v>44628</v>
      </c>
      <c r="M23" s="169">
        <v>44629</v>
      </c>
      <c r="N23" s="169">
        <v>44630</v>
      </c>
      <c r="O23" s="169">
        <v>44631</v>
      </c>
      <c r="P23" s="169">
        <v>44632</v>
      </c>
      <c r="Q23" s="169">
        <v>44633</v>
      </c>
      <c r="R23" s="166" t="s">
        <v>9</v>
      </c>
      <c r="S23" s="169">
        <v>44634</v>
      </c>
      <c r="T23" s="169">
        <v>44635</v>
      </c>
      <c r="U23" s="169">
        <v>44636</v>
      </c>
      <c r="V23" s="169">
        <v>44637</v>
      </c>
      <c r="W23" s="169">
        <v>44638</v>
      </c>
      <c r="X23" s="169">
        <v>44639</v>
      </c>
      <c r="Y23" s="169">
        <v>44640</v>
      </c>
      <c r="Z23" s="166" t="s">
        <v>9</v>
      </c>
      <c r="AA23" s="169">
        <v>44641</v>
      </c>
      <c r="AB23" s="169">
        <v>44642</v>
      </c>
      <c r="AC23" s="169">
        <v>44643</v>
      </c>
      <c r="AD23" s="169">
        <v>44644</v>
      </c>
      <c r="AE23" s="169">
        <v>44645</v>
      </c>
      <c r="AF23" s="169">
        <v>44646</v>
      </c>
      <c r="AG23" s="169">
        <v>44647</v>
      </c>
      <c r="AH23" s="166" t="s">
        <v>9</v>
      </c>
      <c r="AI23" s="169">
        <v>44648</v>
      </c>
      <c r="AJ23" s="169">
        <v>44649</v>
      </c>
      <c r="AK23" s="169">
        <v>44650</v>
      </c>
      <c r="AL23" s="169">
        <v>44651</v>
      </c>
      <c r="AM23" s="169"/>
      <c r="AN23" s="169"/>
      <c r="AO23" s="169"/>
      <c r="AP23" s="169"/>
      <c r="AQ23" s="169"/>
      <c r="AR23" s="166" t="s">
        <v>9</v>
      </c>
      <c r="AS23" s="191" t="s">
        <v>10</v>
      </c>
    </row>
    <row r="24" spans="1:45">
      <c r="A24" s="170" t="s">
        <v>11</v>
      </c>
      <c r="B24" s="165"/>
      <c r="C24" s="172"/>
      <c r="D24" s="173">
        <v>10678</v>
      </c>
      <c r="E24" s="173">
        <v>5456</v>
      </c>
      <c r="F24" s="173">
        <v>4113</v>
      </c>
      <c r="G24" s="173">
        <v>12803</v>
      </c>
      <c r="H24" s="173">
        <v>9839</v>
      </c>
      <c r="I24" s="173">
        <v>0</v>
      </c>
      <c r="J24" s="185">
        <f>SUM(C24:I24)</f>
        <v>42889</v>
      </c>
      <c r="K24" s="173">
        <v>4693</v>
      </c>
      <c r="L24" s="173">
        <v>7381</v>
      </c>
      <c r="M24" s="173">
        <v>5234</v>
      </c>
      <c r="N24" s="173">
        <v>10814</v>
      </c>
      <c r="O24" s="173">
        <v>4371</v>
      </c>
      <c r="P24" s="173">
        <v>9243</v>
      </c>
      <c r="Q24" s="173">
        <v>0</v>
      </c>
      <c r="R24" s="185">
        <f>SUM(K24:Q24)</f>
        <v>41736</v>
      </c>
      <c r="S24" s="173">
        <v>15077</v>
      </c>
      <c r="T24" s="173">
        <v>15075</v>
      </c>
      <c r="U24" s="173">
        <v>7741</v>
      </c>
      <c r="V24" s="173">
        <v>9384</v>
      </c>
      <c r="W24" s="173">
        <v>10222</v>
      </c>
      <c r="X24" s="173">
        <v>11738</v>
      </c>
      <c r="Y24" s="173">
        <v>0</v>
      </c>
      <c r="Z24" s="185">
        <f>SUM(S24:Y24)</f>
        <v>69237</v>
      </c>
      <c r="AA24" s="173">
        <v>0</v>
      </c>
      <c r="AB24" s="173">
        <v>9604</v>
      </c>
      <c r="AC24" s="173">
        <v>11360</v>
      </c>
      <c r="AD24" s="173">
        <v>11692</v>
      </c>
      <c r="AE24" s="173">
        <v>5115</v>
      </c>
      <c r="AF24" s="173">
        <v>9150</v>
      </c>
      <c r="AG24" s="173">
        <v>0</v>
      </c>
      <c r="AH24" s="185">
        <f>SUM(AA24:AG24)</f>
        <v>46921</v>
      </c>
      <c r="AI24" s="173">
        <v>9150</v>
      </c>
      <c r="AJ24" s="173">
        <v>7584</v>
      </c>
      <c r="AK24" s="173">
        <v>9002</v>
      </c>
      <c r="AL24" s="173"/>
      <c r="AM24" s="173"/>
      <c r="AN24" s="173"/>
      <c r="AO24" s="173"/>
      <c r="AP24" s="173"/>
      <c r="AQ24" s="173"/>
      <c r="AR24" s="185">
        <f>SUM(AI24:AL24)</f>
        <v>25736</v>
      </c>
      <c r="AS24" s="192">
        <f>J24+R24+Z24+AH24+AR24</f>
        <v>226519</v>
      </c>
    </row>
    <row r="25" spans="1:45">
      <c r="A25" s="170" t="s">
        <v>12</v>
      </c>
      <c r="B25" s="165"/>
      <c r="C25" s="172"/>
      <c r="D25" s="173"/>
      <c r="E25" s="173"/>
      <c r="F25" s="173"/>
      <c r="G25" s="173"/>
      <c r="H25" s="173"/>
      <c r="I25" s="173"/>
      <c r="J25" s="185">
        <f>SUM(C25:I25)</f>
        <v>0</v>
      </c>
      <c r="K25" s="173"/>
      <c r="L25" s="173"/>
      <c r="M25" s="173"/>
      <c r="N25" s="173"/>
      <c r="O25" s="173"/>
      <c r="P25" s="173"/>
      <c r="Q25" s="173"/>
      <c r="R25" s="185">
        <f>SUM(K25:Q25)</f>
        <v>0</v>
      </c>
      <c r="S25" s="173"/>
      <c r="T25" s="173"/>
      <c r="U25" s="173"/>
      <c r="V25" s="173"/>
      <c r="W25" s="173"/>
      <c r="X25" s="173"/>
      <c r="Y25" s="173"/>
      <c r="Z25" s="185">
        <f>SUM(S25:Y25)</f>
        <v>0</v>
      </c>
      <c r="AA25" s="173"/>
      <c r="AB25" s="173"/>
      <c r="AC25" s="173"/>
      <c r="AD25" s="173"/>
      <c r="AE25" s="173"/>
      <c r="AF25" s="173"/>
      <c r="AG25" s="173"/>
      <c r="AH25" s="185">
        <f>SUM(AA25:AG25)</f>
        <v>0</v>
      </c>
      <c r="AI25" s="173"/>
      <c r="AJ25" s="173"/>
      <c r="AK25" s="173"/>
      <c r="AL25" s="173"/>
      <c r="AM25" s="173"/>
      <c r="AN25" s="173"/>
      <c r="AO25" s="173"/>
      <c r="AP25" s="173"/>
      <c r="AQ25" s="173"/>
      <c r="AR25" s="185">
        <f t="shared" ref="AR25:AR26" si="11">SUM(AI25:AL25)</f>
        <v>0</v>
      </c>
      <c r="AS25" s="192">
        <f t="shared" ref="AS25" si="12">J25+R25+Z25+AH25+AR25</f>
        <v>0</v>
      </c>
    </row>
    <row r="26" spans="1:45">
      <c r="A26" s="174" t="s">
        <v>13</v>
      </c>
      <c r="B26" s="173"/>
      <c r="C26" s="173"/>
      <c r="D26" s="173">
        <f>'P2'!B22</f>
        <v>8070</v>
      </c>
      <c r="E26" s="173">
        <f>'P2'!C22</f>
        <v>0</v>
      </c>
      <c r="F26" s="173">
        <f>'P2'!D22</f>
        <v>1440</v>
      </c>
      <c r="G26" s="173">
        <f>'P2'!E22</f>
        <v>0</v>
      </c>
      <c r="H26" s="173">
        <f>'P2'!F22</f>
        <v>0</v>
      </c>
      <c r="I26" s="173">
        <f>'P2'!G22</f>
        <v>0</v>
      </c>
      <c r="J26" s="185">
        <f>SUM(C26:I26)</f>
        <v>9510</v>
      </c>
      <c r="K26" s="173">
        <f>'P2'!H22</f>
        <v>8547</v>
      </c>
      <c r="L26" s="173">
        <f>'P2'!I22</f>
        <v>0</v>
      </c>
      <c r="M26" s="173">
        <f>'P2'!J22</f>
        <v>0</v>
      </c>
      <c r="N26" s="173">
        <f>'P2'!K22</f>
        <v>0</v>
      </c>
      <c r="O26" s="173">
        <f>'P2'!L22</f>
        <v>8379</v>
      </c>
      <c r="P26" s="173">
        <f>'P2'!M22</f>
        <v>0</v>
      </c>
      <c r="Q26" s="173">
        <f>'P2'!N22</f>
        <v>0</v>
      </c>
      <c r="R26" s="185">
        <f>SUM(K26:Q26)</f>
        <v>16926</v>
      </c>
      <c r="S26" s="173">
        <f>'P2'!O22</f>
        <v>3190</v>
      </c>
      <c r="T26" s="173">
        <f>'P2'!P22</f>
        <v>8250</v>
      </c>
      <c r="U26" s="173">
        <f>'P2'!Q22</f>
        <v>0</v>
      </c>
      <c r="V26" s="173">
        <f>'P2'!R22</f>
        <v>8060</v>
      </c>
      <c r="W26" s="173">
        <f>'P2'!S22</f>
        <v>0</v>
      </c>
      <c r="X26" s="173">
        <f>'P2'!T22</f>
        <v>0</v>
      </c>
      <c r="Y26" s="173">
        <f>'P2'!U22</f>
        <v>0</v>
      </c>
      <c r="Z26" s="185">
        <f>SUM(S26:Y26)</f>
        <v>19500</v>
      </c>
      <c r="AA26" s="173">
        <f>'P2'!V22</f>
        <v>0</v>
      </c>
      <c r="AB26" s="173">
        <f>'P2'!W22</f>
        <v>8888</v>
      </c>
      <c r="AC26" s="173">
        <f>'P2'!X22</f>
        <v>0</v>
      </c>
      <c r="AD26" s="173">
        <f>'P2'!Y22</f>
        <v>0</v>
      </c>
      <c r="AE26" s="173">
        <f>'P2'!Z22</f>
        <v>8741</v>
      </c>
      <c r="AF26" s="173">
        <f>'P2'!AA22</f>
        <v>0</v>
      </c>
      <c r="AG26" s="173">
        <f>'P2'!AB22</f>
        <v>0</v>
      </c>
      <c r="AH26" s="185">
        <f>SUM(AA26:AG26)</f>
        <v>17629</v>
      </c>
      <c r="AI26" s="173">
        <f>'P2'!AC22</f>
        <v>0</v>
      </c>
      <c r="AJ26" s="173">
        <f>'P2'!AD22</f>
        <v>0</v>
      </c>
      <c r="AK26" s="173">
        <f>'P2'!AE22</f>
        <v>0</v>
      </c>
      <c r="AL26" s="173">
        <f>'P2'!AF22</f>
        <v>9106</v>
      </c>
      <c r="AM26" s="173">
        <f>'P2'!AH22</f>
        <v>0</v>
      </c>
      <c r="AN26" s="173"/>
      <c r="AO26" s="173"/>
      <c r="AP26" s="173"/>
      <c r="AQ26" s="173">
        <f>'P2'!AJ22</f>
        <v>0</v>
      </c>
      <c r="AR26" s="185">
        <f t="shared" si="11"/>
        <v>9106</v>
      </c>
      <c r="AS26" s="192">
        <f>J26+R26+Z26+AH26+AR26</f>
        <v>72671</v>
      </c>
    </row>
    <row r="27" spans="1:45">
      <c r="A27" s="164" t="s">
        <v>15</v>
      </c>
      <c r="B27" s="177" t="e">
        <f t="shared" ref="B27" si="13">B26/B24</f>
        <v>#DIV/0!</v>
      </c>
      <c r="C27" s="177" t="e">
        <f t="shared" ref="C27:J27" si="14">C26/C24</f>
        <v>#DIV/0!</v>
      </c>
      <c r="D27" s="177">
        <f t="shared" si="14"/>
        <v>0.75575950552537929</v>
      </c>
      <c r="E27" s="177">
        <f t="shared" si="14"/>
        <v>0</v>
      </c>
      <c r="F27" s="177">
        <f t="shared" si="14"/>
        <v>0.35010940919037198</v>
      </c>
      <c r="G27" s="177">
        <f t="shared" si="14"/>
        <v>0</v>
      </c>
      <c r="H27" s="177">
        <f t="shared" si="14"/>
        <v>0</v>
      </c>
      <c r="I27" s="177" t="e">
        <f t="shared" si="14"/>
        <v>#DIV/0!</v>
      </c>
      <c r="J27" s="176">
        <f t="shared" si="14"/>
        <v>0.22173517685187344</v>
      </c>
      <c r="K27" s="177">
        <f t="shared" ref="K27:S27" si="15">K26/K24</f>
        <v>1.8212230982314084</v>
      </c>
      <c r="L27" s="177">
        <f t="shared" si="15"/>
        <v>0</v>
      </c>
      <c r="M27" s="177">
        <f t="shared" si="15"/>
        <v>0</v>
      </c>
      <c r="N27" s="177">
        <f t="shared" si="15"/>
        <v>0</v>
      </c>
      <c r="O27" s="177">
        <f t="shared" si="15"/>
        <v>1.9169526424159231</v>
      </c>
      <c r="P27" s="177">
        <f t="shared" si="15"/>
        <v>0</v>
      </c>
      <c r="Q27" s="177" t="e">
        <f t="shared" si="15"/>
        <v>#DIV/0!</v>
      </c>
      <c r="R27" s="176">
        <f t="shared" si="15"/>
        <v>0.40554916618746406</v>
      </c>
      <c r="S27" s="177">
        <f t="shared" si="15"/>
        <v>0.21158055316044305</v>
      </c>
      <c r="T27" s="177">
        <f t="shared" ref="T27:Z27" si="16">T26/T24</f>
        <v>0.54726368159203975</v>
      </c>
      <c r="U27" s="177">
        <f t="shared" si="16"/>
        <v>0</v>
      </c>
      <c r="V27" s="177">
        <f t="shared" si="16"/>
        <v>0.85890878090366585</v>
      </c>
      <c r="W27" s="177">
        <f t="shared" si="16"/>
        <v>0</v>
      </c>
      <c r="X27" s="177">
        <f t="shared" si="16"/>
        <v>0</v>
      </c>
      <c r="Y27" s="177" t="e">
        <f t="shared" si="16"/>
        <v>#DIV/0!</v>
      </c>
      <c r="Z27" s="176">
        <f t="shared" si="16"/>
        <v>0.28164131894796135</v>
      </c>
      <c r="AA27" s="177" t="e">
        <f t="shared" ref="AA27:AH27" si="17">AA26/AA24</f>
        <v>#DIV/0!</v>
      </c>
      <c r="AB27" s="177">
        <f t="shared" si="17"/>
        <v>0.92544773011245318</v>
      </c>
      <c r="AC27" s="177">
        <f t="shared" si="17"/>
        <v>0</v>
      </c>
      <c r="AD27" s="177">
        <f t="shared" si="17"/>
        <v>0</v>
      </c>
      <c r="AE27" s="177">
        <f t="shared" si="17"/>
        <v>1.7088954056695993</v>
      </c>
      <c r="AF27" s="177">
        <f t="shared" si="17"/>
        <v>0</v>
      </c>
      <c r="AG27" s="177" t="e">
        <f t="shared" si="17"/>
        <v>#DIV/0!</v>
      </c>
      <c r="AH27" s="176">
        <f t="shared" si="17"/>
        <v>0.37571663008034784</v>
      </c>
      <c r="AI27" s="177">
        <f t="shared" ref="AI27:AR27" si="18">AI26/AI24</f>
        <v>0</v>
      </c>
      <c r="AJ27" s="177">
        <f t="shared" si="18"/>
        <v>0</v>
      </c>
      <c r="AK27" s="177">
        <f t="shared" si="18"/>
        <v>0</v>
      </c>
      <c r="AL27" s="177" t="e">
        <f t="shared" si="18"/>
        <v>#DIV/0!</v>
      </c>
      <c r="AM27" s="177" t="e">
        <f t="shared" si="18"/>
        <v>#DIV/0!</v>
      </c>
      <c r="AN27" s="177" t="e">
        <f t="shared" si="18"/>
        <v>#DIV/0!</v>
      </c>
      <c r="AO27" s="177"/>
      <c r="AP27" s="177"/>
      <c r="AQ27" s="177" t="e">
        <f t="shared" si="18"/>
        <v>#DIV/0!</v>
      </c>
      <c r="AR27" s="176">
        <f t="shared" si="18"/>
        <v>0.35382343798570098</v>
      </c>
      <c r="AS27" s="193">
        <f>AS26/AS24</f>
        <v>0.32081635536091896</v>
      </c>
    </row>
    <row r="28" spans="1:45">
      <c r="B28" s="151"/>
      <c r="C28" s="178"/>
      <c r="D28" s="178"/>
      <c r="E28" s="178"/>
      <c r="F28" s="178"/>
      <c r="G28" s="178"/>
      <c r="H28" s="186"/>
      <c r="I28" s="178"/>
      <c r="J28" s="151"/>
      <c r="K28" s="178"/>
      <c r="L28" s="178"/>
      <c r="M28" s="178"/>
      <c r="N28" s="178"/>
      <c r="O28" s="178"/>
      <c r="P28" s="178"/>
      <c r="Q28" s="188"/>
      <c r="R28" s="151"/>
      <c r="S28" s="189"/>
      <c r="T28" s="189"/>
      <c r="U28" s="189"/>
      <c r="V28" s="189"/>
      <c r="W28" s="189"/>
      <c r="X28" s="189"/>
      <c r="Y28" s="189"/>
      <c r="Z28" s="151"/>
      <c r="AA28" s="188"/>
      <c r="AB28" s="178"/>
      <c r="AC28" s="178"/>
      <c r="AD28" s="178"/>
      <c r="AE28" s="178"/>
      <c r="AF28" s="178"/>
      <c r="AG28" s="178"/>
      <c r="AH28" s="151"/>
      <c r="AI28" s="178"/>
      <c r="AJ28" s="188"/>
      <c r="AK28" s="189"/>
      <c r="AL28" s="189"/>
      <c r="AM28" s="189"/>
      <c r="AN28" s="189"/>
      <c r="AO28" s="189"/>
      <c r="AP28" s="189"/>
      <c r="AQ28" s="189"/>
      <c r="AR28" s="151"/>
      <c r="AS28" s="47"/>
    </row>
    <row r="29" spans="1:45">
      <c r="B29" s="179"/>
      <c r="C29" s="180"/>
      <c r="D29" s="180"/>
      <c r="E29" s="180"/>
      <c r="F29" s="180"/>
      <c r="G29" s="180"/>
      <c r="H29" s="187"/>
      <c r="I29" s="180"/>
      <c r="J29" s="179"/>
      <c r="K29" s="180"/>
      <c r="L29" s="180"/>
      <c r="M29" s="180"/>
      <c r="N29" s="180"/>
      <c r="O29" s="180"/>
      <c r="P29" s="180"/>
      <c r="Q29" s="187"/>
      <c r="R29" s="179"/>
      <c r="S29" s="180"/>
      <c r="T29" s="180"/>
      <c r="U29" s="180"/>
      <c r="V29" s="180"/>
      <c r="W29" s="180"/>
      <c r="X29" s="180"/>
      <c r="Y29" s="180"/>
      <c r="Z29" s="179"/>
      <c r="AA29" s="187"/>
      <c r="AB29" s="180"/>
      <c r="AC29" s="180"/>
      <c r="AD29" s="180"/>
      <c r="AE29" s="180"/>
      <c r="AF29" s="180"/>
      <c r="AG29" s="180"/>
      <c r="AH29" s="179"/>
      <c r="AI29" s="180"/>
      <c r="AJ29" s="187"/>
      <c r="AK29" s="180"/>
      <c r="AL29" s="180"/>
      <c r="AM29" s="180"/>
      <c r="AN29" s="180"/>
      <c r="AO29" s="180"/>
      <c r="AP29" s="180"/>
      <c r="AQ29" s="180"/>
      <c r="AR29" s="194" t="s">
        <v>16</v>
      </c>
      <c r="AS29" s="121"/>
    </row>
    <row r="30" spans="1:45">
      <c r="B30" s="181"/>
      <c r="C30" s="160"/>
      <c r="D30" s="182"/>
      <c r="E30" s="160"/>
      <c r="F30" s="160"/>
      <c r="G30" s="182"/>
      <c r="H30" s="182"/>
      <c r="I30" s="182"/>
      <c r="J30" s="181"/>
      <c r="K30" s="182"/>
      <c r="L30" s="182"/>
      <c r="M30" s="160"/>
      <c r="N30" s="160"/>
      <c r="O30" s="182"/>
      <c r="P30" s="182"/>
      <c r="Q30" s="160"/>
      <c r="R30" s="181"/>
      <c r="S30" s="160"/>
      <c r="T30" s="160"/>
      <c r="U30" s="160"/>
      <c r="V30" s="160"/>
      <c r="W30" s="160"/>
      <c r="X30" s="160"/>
      <c r="Y30" s="160"/>
      <c r="Z30" s="181"/>
      <c r="AA30" s="160"/>
      <c r="AB30" s="160"/>
      <c r="AC30" s="160"/>
      <c r="AD30" s="160"/>
      <c r="AE30" s="160"/>
      <c r="AF30" s="160"/>
      <c r="AG30" s="160"/>
      <c r="AH30" s="181"/>
      <c r="AI30" s="160"/>
      <c r="AJ30" s="160"/>
      <c r="AK30" s="160"/>
      <c r="AL30" s="160"/>
      <c r="AM30" s="190"/>
      <c r="AN30" s="160"/>
      <c r="AO30" s="160"/>
      <c r="AP30" s="160"/>
      <c r="AQ30" s="160"/>
      <c r="AR30" s="195" t="s">
        <v>17</v>
      </c>
      <c r="AS30" s="196"/>
    </row>
    <row r="31" spans="1:45">
      <c r="A31" s="304" t="s">
        <v>20</v>
      </c>
      <c r="B31" s="163" t="s">
        <v>2</v>
      </c>
      <c r="C31" s="163" t="s">
        <v>3</v>
      </c>
      <c r="D31" s="163" t="s">
        <v>4</v>
      </c>
      <c r="E31" s="163" t="s">
        <v>4</v>
      </c>
      <c r="F31" s="163" t="s">
        <v>5</v>
      </c>
      <c r="G31" s="163" t="s">
        <v>6</v>
      </c>
      <c r="H31" s="163" t="s">
        <v>7</v>
      </c>
      <c r="I31" s="163" t="s">
        <v>2</v>
      </c>
      <c r="J31" s="163"/>
      <c r="K31" s="163" t="s">
        <v>3</v>
      </c>
      <c r="L31" s="163" t="s">
        <v>4</v>
      </c>
      <c r="M31" s="163" t="s">
        <v>4</v>
      </c>
      <c r="N31" s="163" t="s">
        <v>5</v>
      </c>
      <c r="O31" s="163" t="s">
        <v>6</v>
      </c>
      <c r="P31" s="163" t="s">
        <v>7</v>
      </c>
      <c r="Q31" s="163" t="s">
        <v>2</v>
      </c>
      <c r="R31" s="163"/>
      <c r="S31" s="163" t="s">
        <v>3</v>
      </c>
      <c r="T31" s="163" t="s">
        <v>4</v>
      </c>
      <c r="U31" s="163" t="s">
        <v>4</v>
      </c>
      <c r="V31" s="163" t="s">
        <v>5</v>
      </c>
      <c r="W31" s="163" t="s">
        <v>6</v>
      </c>
      <c r="X31" s="163" t="s">
        <v>7</v>
      </c>
      <c r="Y31" s="163" t="s">
        <v>2</v>
      </c>
      <c r="Z31" s="163"/>
      <c r="AA31" s="163" t="s">
        <v>3</v>
      </c>
      <c r="AB31" s="163" t="s">
        <v>4</v>
      </c>
      <c r="AC31" s="163" t="s">
        <v>4</v>
      </c>
      <c r="AD31" s="163" t="s">
        <v>5</v>
      </c>
      <c r="AE31" s="163" t="s">
        <v>6</v>
      </c>
      <c r="AF31" s="163" t="s">
        <v>7</v>
      </c>
      <c r="AG31" s="163" t="s">
        <v>2</v>
      </c>
      <c r="AH31" s="163"/>
      <c r="AI31" s="163" t="s">
        <v>3</v>
      </c>
      <c r="AJ31" s="163" t="s">
        <v>4</v>
      </c>
      <c r="AK31" s="163" t="s">
        <v>4</v>
      </c>
      <c r="AL31" s="163" t="s">
        <v>5</v>
      </c>
      <c r="AM31" s="163" t="s">
        <v>6</v>
      </c>
      <c r="AN31" s="163" t="s">
        <v>7</v>
      </c>
      <c r="AO31" s="163"/>
      <c r="AP31" s="163"/>
      <c r="AQ31" s="163" t="s">
        <v>2</v>
      </c>
      <c r="AR31" s="151"/>
      <c r="AS31" s="47"/>
    </row>
    <row r="32" spans="1:45">
      <c r="A32" s="164" t="s">
        <v>8</v>
      </c>
      <c r="B32" s="183"/>
      <c r="C32" s="168"/>
      <c r="D32" s="168"/>
      <c r="E32" s="168"/>
      <c r="F32" s="169"/>
      <c r="G32" s="169">
        <v>44652</v>
      </c>
      <c r="H32" s="169">
        <v>44653</v>
      </c>
      <c r="I32" s="169">
        <v>44654</v>
      </c>
      <c r="J32" s="166" t="s">
        <v>9</v>
      </c>
      <c r="K32" s="169">
        <v>44655</v>
      </c>
      <c r="L32" s="169">
        <v>44656</v>
      </c>
      <c r="M32" s="169">
        <v>44657</v>
      </c>
      <c r="N32" s="169">
        <v>44658</v>
      </c>
      <c r="O32" s="169">
        <v>44659</v>
      </c>
      <c r="P32" s="169">
        <v>44660</v>
      </c>
      <c r="Q32" s="169">
        <v>44661</v>
      </c>
      <c r="R32" s="166" t="s">
        <v>9</v>
      </c>
      <c r="S32" s="169">
        <v>44662</v>
      </c>
      <c r="T32" s="169">
        <v>44663</v>
      </c>
      <c r="U32" s="169">
        <v>44664</v>
      </c>
      <c r="V32" s="169">
        <v>44665</v>
      </c>
      <c r="W32" s="169">
        <v>44666</v>
      </c>
      <c r="X32" s="169">
        <v>44667</v>
      </c>
      <c r="Y32" s="169">
        <v>44668</v>
      </c>
      <c r="Z32" s="166" t="s">
        <v>9</v>
      </c>
      <c r="AA32" s="169">
        <v>44669</v>
      </c>
      <c r="AB32" s="169">
        <v>44670</v>
      </c>
      <c r="AC32" s="169">
        <v>44671</v>
      </c>
      <c r="AD32" s="169">
        <v>44672</v>
      </c>
      <c r="AE32" s="169">
        <v>44673</v>
      </c>
      <c r="AF32" s="169">
        <v>44674</v>
      </c>
      <c r="AG32" s="169">
        <v>44675</v>
      </c>
      <c r="AH32" s="166" t="s">
        <v>9</v>
      </c>
      <c r="AI32" s="169">
        <v>44676</v>
      </c>
      <c r="AJ32" s="169">
        <v>44677</v>
      </c>
      <c r="AK32" s="169">
        <v>44678</v>
      </c>
      <c r="AL32" s="169">
        <v>44679</v>
      </c>
      <c r="AM32" s="169">
        <v>44680</v>
      </c>
      <c r="AN32" s="169">
        <v>44681</v>
      </c>
      <c r="AO32" s="169"/>
      <c r="AP32" s="169"/>
      <c r="AQ32" s="169"/>
      <c r="AR32" s="166" t="s">
        <v>9</v>
      </c>
      <c r="AS32" s="191" t="s">
        <v>10</v>
      </c>
    </row>
    <row r="33" spans="1:45">
      <c r="A33" s="170" t="s">
        <v>11</v>
      </c>
      <c r="B33" s="165"/>
      <c r="C33" s="172"/>
      <c r="D33" s="173"/>
      <c r="E33" s="173"/>
      <c r="F33" s="173"/>
      <c r="G33" s="173">
        <v>14113.14472</v>
      </c>
      <c r="H33" s="173">
        <v>6853.1657089999999</v>
      </c>
      <c r="I33" s="173"/>
      <c r="J33" s="185">
        <f>SUM(C33:I33)</f>
        <v>20966.310429000001</v>
      </c>
      <c r="K33" s="173">
        <v>11539.70247</v>
      </c>
      <c r="L33" s="173">
        <v>6331.5072600000003</v>
      </c>
      <c r="M33" s="173">
        <v>4665.9526139999998</v>
      </c>
      <c r="N33" s="173">
        <v>1514.10472</v>
      </c>
      <c r="O33" s="173">
        <v>11199.445328</v>
      </c>
      <c r="P33" s="173">
        <v>11015.7551</v>
      </c>
      <c r="Q33" s="173"/>
      <c r="R33" s="185">
        <f>SUM(K33:Q33)</f>
        <v>46266.467492000003</v>
      </c>
      <c r="S33" s="173">
        <v>10868</v>
      </c>
      <c r="T33" s="173">
        <v>2224</v>
      </c>
      <c r="U33" s="173">
        <v>7800</v>
      </c>
      <c r="V33" s="173">
        <v>12556</v>
      </c>
      <c r="W33" s="173">
        <v>14112</v>
      </c>
      <c r="X33" s="173">
        <v>16026</v>
      </c>
      <c r="Y33" s="173">
        <v>0</v>
      </c>
      <c r="Z33" s="185">
        <f>SUM(S33:Y33)</f>
        <v>63586</v>
      </c>
      <c r="AA33" s="173">
        <v>18778</v>
      </c>
      <c r="AB33" s="173">
        <v>11930</v>
      </c>
      <c r="AC33" s="173">
        <v>15558</v>
      </c>
      <c r="AD33" s="173">
        <v>7963</v>
      </c>
      <c r="AE33" s="173">
        <v>6300</v>
      </c>
      <c r="AF33" s="173">
        <v>5500</v>
      </c>
      <c r="AG33" s="173">
        <v>0</v>
      </c>
      <c r="AH33" s="185">
        <f>SUM(AA33:AG33)</f>
        <v>66029</v>
      </c>
      <c r="AI33" s="173">
        <v>5407.3373460000003</v>
      </c>
      <c r="AJ33" s="173">
        <v>3024.1321750000002</v>
      </c>
      <c r="AK33" s="173">
        <v>10610.8573</v>
      </c>
      <c r="AL33" s="173">
        <v>11512.750620000001</v>
      </c>
      <c r="AM33" s="173">
        <v>8129.685254</v>
      </c>
      <c r="AN33" s="173">
        <v>0</v>
      </c>
      <c r="AO33" s="173"/>
      <c r="AP33" s="173"/>
      <c r="AQ33" s="173">
        <v>0</v>
      </c>
      <c r="AR33" s="185">
        <f>SUM(AI33:AN33)</f>
        <v>38684.762694999998</v>
      </c>
      <c r="AS33" s="192">
        <f>J33+R33+Z33+AH33+AR33</f>
        <v>235532.54061600001</v>
      </c>
    </row>
    <row r="34" spans="1:45">
      <c r="A34" s="170" t="s">
        <v>12</v>
      </c>
      <c r="B34" s="165"/>
      <c r="C34" s="172"/>
      <c r="D34" s="173"/>
      <c r="E34" s="173"/>
      <c r="F34" s="173"/>
      <c r="G34" s="173"/>
      <c r="H34" s="173"/>
      <c r="I34" s="173"/>
      <c r="J34" s="185">
        <f>SUM(C34:I34)</f>
        <v>0</v>
      </c>
      <c r="K34" s="173"/>
      <c r="L34" s="173"/>
      <c r="M34" s="173"/>
      <c r="N34" s="173"/>
      <c r="O34" s="173"/>
      <c r="P34" s="173"/>
      <c r="Q34" s="173"/>
      <c r="R34" s="185">
        <f>SUM(K34:Q34)</f>
        <v>0</v>
      </c>
      <c r="S34" s="173"/>
      <c r="T34" s="173"/>
      <c r="U34" s="173"/>
      <c r="V34" s="173"/>
      <c r="W34" s="173"/>
      <c r="X34" s="173"/>
      <c r="Y34" s="173"/>
      <c r="Z34" s="185">
        <f>SUM(S34:Y34)</f>
        <v>0</v>
      </c>
      <c r="AA34" s="173"/>
      <c r="AB34" s="173"/>
      <c r="AC34" s="173"/>
      <c r="AD34" s="173"/>
      <c r="AE34" s="173"/>
      <c r="AF34" s="173"/>
      <c r="AG34" s="173"/>
      <c r="AH34" s="185">
        <f>SUM(AA34:AG34)</f>
        <v>0</v>
      </c>
      <c r="AI34" s="173"/>
      <c r="AJ34" s="173"/>
      <c r="AK34" s="173"/>
      <c r="AL34" s="173"/>
      <c r="AM34" s="173"/>
      <c r="AN34" s="173"/>
      <c r="AO34" s="173"/>
      <c r="AP34" s="173"/>
      <c r="AQ34" s="173"/>
      <c r="AR34" s="185">
        <f t="shared" ref="AR34" si="19">SUM(AI34:AL34)</f>
        <v>0</v>
      </c>
      <c r="AS34" s="192">
        <f>J34+R34+Z34+AH34+AR34</f>
        <v>0</v>
      </c>
    </row>
    <row r="35" spans="1:45">
      <c r="A35" s="174" t="s">
        <v>13</v>
      </c>
      <c r="B35" s="173"/>
      <c r="C35" s="173"/>
      <c r="D35" s="173"/>
      <c r="E35" s="173"/>
      <c r="F35" s="173"/>
      <c r="G35" s="173">
        <f>'P2'!B30</f>
        <v>0</v>
      </c>
      <c r="H35" s="173">
        <f>'P2'!C30</f>
        <v>0</v>
      </c>
      <c r="I35" s="173">
        <f>'P2'!D30</f>
        <v>0</v>
      </c>
      <c r="J35" s="185">
        <f>SUM(C35:I35)</f>
        <v>0</v>
      </c>
      <c r="K35" s="173">
        <f>'P2'!E30</f>
        <v>15016</v>
      </c>
      <c r="L35" s="173">
        <f>'P2'!F30</f>
        <v>0</v>
      </c>
      <c r="M35" s="173">
        <f>'P2'!G30</f>
        <v>0</v>
      </c>
      <c r="N35" s="173">
        <f>'P2'!H30</f>
        <v>0</v>
      </c>
      <c r="O35" s="173">
        <f>'P2'!I30</f>
        <v>9652</v>
      </c>
      <c r="P35" s="173">
        <f>'P2'!J30</f>
        <v>0</v>
      </c>
      <c r="Q35" s="173">
        <f>'P2'!K30</f>
        <v>0</v>
      </c>
      <c r="R35" s="185">
        <f>SUM(K35:Q35)</f>
        <v>24668</v>
      </c>
      <c r="S35" s="173">
        <f>'P2'!L30</f>
        <v>8411</v>
      </c>
      <c r="T35" s="173">
        <f>'P2'!M30</f>
        <v>0</v>
      </c>
      <c r="U35" s="173">
        <f>'P2'!N30</f>
        <v>9927</v>
      </c>
      <c r="V35" s="173">
        <f>'P2'!O30</f>
        <v>10774</v>
      </c>
      <c r="W35" s="173">
        <f>'P2'!P30</f>
        <v>0</v>
      </c>
      <c r="X35" s="173">
        <f>'P2'!Q30</f>
        <v>0</v>
      </c>
      <c r="Y35" s="173">
        <f>'P2'!R30</f>
        <v>0</v>
      </c>
      <c r="Z35" s="185">
        <f>SUM(S35:Y35)</f>
        <v>29112</v>
      </c>
      <c r="AA35" s="173">
        <f>'P2'!S30</f>
        <v>0</v>
      </c>
      <c r="AB35" s="173">
        <f>'P2'!T30</f>
        <v>10860</v>
      </c>
      <c r="AC35" s="173">
        <f>'P2'!U30</f>
        <v>0</v>
      </c>
      <c r="AD35" s="173">
        <f>'P2'!V30</f>
        <v>0</v>
      </c>
      <c r="AE35" s="173">
        <f>'P2'!W30</f>
        <v>0</v>
      </c>
      <c r="AF35" s="173">
        <f>'P2'!X30</f>
        <v>0</v>
      </c>
      <c r="AG35" s="173">
        <f>'P2'!Y30</f>
        <v>0</v>
      </c>
      <c r="AH35" s="185">
        <f>SUM(AA35:AG35)</f>
        <v>10860</v>
      </c>
      <c r="AI35" s="173">
        <f>'P2'!Z30</f>
        <v>14897</v>
      </c>
      <c r="AJ35" s="173">
        <f>'P2'!AA30</f>
        <v>0</v>
      </c>
      <c r="AK35" s="173">
        <f>'P2'!AB30</f>
        <v>0</v>
      </c>
      <c r="AL35" s="173">
        <f>'P2'!AC30</f>
        <v>11104</v>
      </c>
      <c r="AM35" s="173">
        <f>'P2'!AD30</f>
        <v>0</v>
      </c>
      <c r="AN35" s="173">
        <f>'P2'!AE30</f>
        <v>0</v>
      </c>
      <c r="AO35" s="173"/>
      <c r="AP35" s="173"/>
      <c r="AQ35" s="173">
        <f>'P2'!AG30</f>
        <v>0</v>
      </c>
      <c r="AR35" s="185">
        <f>SUM(AI35:AN35)</f>
        <v>26001</v>
      </c>
      <c r="AS35" s="192">
        <f>J35+R35+Z35+AH35+AR35</f>
        <v>90641</v>
      </c>
    </row>
    <row r="36" spans="1:45">
      <c r="A36" s="164" t="s">
        <v>15</v>
      </c>
      <c r="B36" s="177" t="e">
        <f t="shared" ref="B36" si="20">B35/B33</f>
        <v>#DIV/0!</v>
      </c>
      <c r="C36" s="177" t="e">
        <f t="shared" ref="C36:J36" si="21">C35/C33</f>
        <v>#DIV/0!</v>
      </c>
      <c r="D36" s="177" t="e">
        <f t="shared" si="21"/>
        <v>#DIV/0!</v>
      </c>
      <c r="E36" s="177" t="e">
        <f t="shared" si="21"/>
        <v>#DIV/0!</v>
      </c>
      <c r="F36" s="177" t="e">
        <f t="shared" si="21"/>
        <v>#DIV/0!</v>
      </c>
      <c r="G36" s="177">
        <f t="shared" si="21"/>
        <v>0</v>
      </c>
      <c r="H36" s="177">
        <f>H35/H33</f>
        <v>0</v>
      </c>
      <c r="I36" s="177" t="e">
        <f t="shared" si="21"/>
        <v>#DIV/0!</v>
      </c>
      <c r="J36" s="176">
        <f t="shared" si="21"/>
        <v>0</v>
      </c>
      <c r="K36" s="177">
        <f t="shared" ref="K36:S36" si="22">K35/K33</f>
        <v>1.3012467209650684</v>
      </c>
      <c r="L36" s="177">
        <f t="shared" si="22"/>
        <v>0</v>
      </c>
      <c r="M36" s="177">
        <f t="shared" si="22"/>
        <v>0</v>
      </c>
      <c r="N36" s="177">
        <f t="shared" si="22"/>
        <v>0</v>
      </c>
      <c r="O36" s="177">
        <f t="shared" si="22"/>
        <v>0.86182839572142067</v>
      </c>
      <c r="P36" s="177">
        <f t="shared" si="22"/>
        <v>0</v>
      </c>
      <c r="Q36" s="177" t="e">
        <f t="shared" si="22"/>
        <v>#DIV/0!</v>
      </c>
      <c r="R36" s="176">
        <f t="shared" si="22"/>
        <v>0.53317232408688597</v>
      </c>
      <c r="S36" s="177">
        <f t="shared" si="22"/>
        <v>0.77392344497607657</v>
      </c>
      <c r="T36" s="177">
        <f t="shared" ref="T36:Z36" si="23">T35/T33</f>
        <v>0</v>
      </c>
      <c r="U36" s="177">
        <f t="shared" si="23"/>
        <v>1.2726923076923078</v>
      </c>
      <c r="V36" s="177">
        <f t="shared" si="23"/>
        <v>0.85807582032494423</v>
      </c>
      <c r="W36" s="177">
        <f t="shared" si="23"/>
        <v>0</v>
      </c>
      <c r="X36" s="177">
        <f t="shared" si="23"/>
        <v>0</v>
      </c>
      <c r="Y36" s="177" t="e">
        <f t="shared" si="23"/>
        <v>#DIV/0!</v>
      </c>
      <c r="Z36" s="176">
        <f t="shared" si="23"/>
        <v>0.45783663070487213</v>
      </c>
      <c r="AA36" s="177">
        <f t="shared" ref="AA36:AH36" si="24">AA35/AA33</f>
        <v>0</v>
      </c>
      <c r="AB36" s="177">
        <f t="shared" si="24"/>
        <v>0.91031014249790443</v>
      </c>
      <c r="AC36" s="177">
        <f t="shared" si="24"/>
        <v>0</v>
      </c>
      <c r="AD36" s="177">
        <f t="shared" si="24"/>
        <v>0</v>
      </c>
      <c r="AE36" s="177">
        <f t="shared" si="24"/>
        <v>0</v>
      </c>
      <c r="AF36" s="177">
        <f t="shared" si="24"/>
        <v>0</v>
      </c>
      <c r="AG36" s="177" t="e">
        <f t="shared" si="24"/>
        <v>#DIV/0!</v>
      </c>
      <c r="AH36" s="176">
        <f t="shared" si="24"/>
        <v>0.16447318602432265</v>
      </c>
      <c r="AI36" s="177">
        <f t="shared" ref="AI36:AS36" si="25">AI35/AI33</f>
        <v>2.7549603523478781</v>
      </c>
      <c r="AJ36" s="177">
        <f t="shared" si="25"/>
        <v>0</v>
      </c>
      <c r="AK36" s="177">
        <f t="shared" si="25"/>
        <v>0</v>
      </c>
      <c r="AL36" s="177">
        <f t="shared" si="25"/>
        <v>0.96449583305574971</v>
      </c>
      <c r="AM36" s="177">
        <f t="shared" si="25"/>
        <v>0</v>
      </c>
      <c r="AN36" s="177" t="e">
        <f t="shared" si="25"/>
        <v>#DIV/0!</v>
      </c>
      <c r="AO36" s="177"/>
      <c r="AP36" s="177"/>
      <c r="AQ36" s="177" t="e">
        <f t="shared" si="25"/>
        <v>#DIV/0!</v>
      </c>
      <c r="AR36" s="176">
        <f t="shared" si="25"/>
        <v>0.67212510013304616</v>
      </c>
      <c r="AS36" s="193">
        <f t="shared" si="25"/>
        <v>0.38483429832218541</v>
      </c>
    </row>
    <row r="37" spans="1:45">
      <c r="B37" s="151"/>
      <c r="C37" s="178"/>
      <c r="D37" s="178"/>
      <c r="E37" s="178"/>
      <c r="F37" s="178"/>
      <c r="G37" s="178"/>
      <c r="H37" s="186"/>
      <c r="I37" s="178"/>
      <c r="J37" s="151"/>
      <c r="K37" s="178"/>
      <c r="L37" s="178"/>
      <c r="M37" s="178"/>
      <c r="N37" s="178"/>
      <c r="O37" s="178"/>
      <c r="P37" s="178"/>
      <c r="Q37" s="188"/>
      <c r="R37" s="151"/>
      <c r="S37" s="189"/>
      <c r="T37" s="189"/>
      <c r="U37" s="189"/>
      <c r="V37" s="189"/>
      <c r="W37" s="189"/>
      <c r="X37" s="189"/>
      <c r="Y37" s="189"/>
      <c r="Z37" s="151"/>
      <c r="AA37" s="188"/>
      <c r="AB37" s="178"/>
      <c r="AC37" s="178"/>
      <c r="AD37" s="178"/>
      <c r="AE37" s="178"/>
      <c r="AF37" s="178"/>
      <c r="AG37" s="178"/>
      <c r="AH37" s="151"/>
      <c r="AI37" s="178"/>
      <c r="AJ37" s="188"/>
      <c r="AK37" s="189"/>
      <c r="AL37" s="189"/>
      <c r="AM37" s="189"/>
      <c r="AN37" s="189"/>
      <c r="AO37" s="189"/>
      <c r="AP37" s="189"/>
      <c r="AQ37" s="189"/>
      <c r="AR37" s="151"/>
      <c r="AS37" s="47"/>
    </row>
    <row r="38" spans="1:45">
      <c r="B38" s="179"/>
      <c r="C38" s="180"/>
      <c r="D38" s="180"/>
      <c r="E38" s="180"/>
      <c r="F38" s="180"/>
      <c r="G38" s="180"/>
      <c r="H38" s="187"/>
      <c r="I38" s="180"/>
      <c r="J38" s="179"/>
      <c r="K38" s="180"/>
      <c r="L38" s="180"/>
      <c r="M38" s="180"/>
      <c r="N38" s="180"/>
      <c r="O38" s="180"/>
      <c r="P38" s="180"/>
      <c r="Q38" s="187"/>
      <c r="R38" s="179"/>
      <c r="S38" s="180"/>
      <c r="T38" s="180"/>
      <c r="U38" s="180"/>
      <c r="V38" s="180"/>
      <c r="W38" s="180"/>
      <c r="X38" s="180"/>
      <c r="Y38" s="180"/>
      <c r="Z38" s="179"/>
      <c r="AA38" s="187"/>
      <c r="AB38" s="180"/>
      <c r="AC38" s="180"/>
      <c r="AD38" s="180"/>
      <c r="AE38" s="180"/>
      <c r="AF38" s="180"/>
      <c r="AG38" s="180"/>
      <c r="AH38" s="179"/>
      <c r="AI38" s="180"/>
      <c r="AJ38" s="187"/>
      <c r="AK38" s="180"/>
      <c r="AL38" s="180"/>
      <c r="AM38" s="180"/>
      <c r="AN38" s="180"/>
      <c r="AO38" s="180"/>
      <c r="AP38" s="180"/>
      <c r="AQ38" s="180"/>
      <c r="AR38" s="194" t="s">
        <v>16</v>
      </c>
      <c r="AS38" s="121"/>
    </row>
    <row r="39" spans="1:45">
      <c r="B39" s="181"/>
      <c r="C39" s="160"/>
      <c r="D39" s="182"/>
      <c r="E39" s="160"/>
      <c r="F39" s="160"/>
      <c r="G39" s="182"/>
      <c r="H39" s="182"/>
      <c r="I39" s="182"/>
      <c r="J39" s="181"/>
      <c r="K39" s="182"/>
      <c r="L39" s="182"/>
      <c r="M39" s="160"/>
      <c r="N39" s="160"/>
      <c r="O39" s="182"/>
      <c r="P39" s="182"/>
      <c r="Q39" s="160"/>
      <c r="R39" s="181"/>
      <c r="S39" s="160"/>
      <c r="T39" s="160"/>
      <c r="U39" s="160"/>
      <c r="V39" s="160"/>
      <c r="W39" s="160"/>
      <c r="X39" s="160"/>
      <c r="Y39" s="160"/>
      <c r="Z39" s="181"/>
      <c r="AA39" s="160"/>
      <c r="AB39" s="160"/>
      <c r="AC39" s="160"/>
      <c r="AD39" s="160"/>
      <c r="AE39" s="160"/>
      <c r="AF39" s="160"/>
      <c r="AG39" s="160"/>
      <c r="AH39" s="181"/>
      <c r="AI39" s="160"/>
      <c r="AJ39" s="160"/>
      <c r="AK39" s="160"/>
      <c r="AL39" s="160"/>
      <c r="AM39" s="190"/>
      <c r="AN39" s="160"/>
      <c r="AO39" s="160"/>
      <c r="AP39" s="160"/>
      <c r="AQ39" s="160"/>
      <c r="AR39" s="195" t="s">
        <v>17</v>
      </c>
      <c r="AS39" s="196"/>
    </row>
    <row r="40" spans="1:45">
      <c r="A40" s="304" t="s">
        <v>21</v>
      </c>
      <c r="B40" s="163" t="s">
        <v>2</v>
      </c>
      <c r="C40" s="163" t="s">
        <v>3</v>
      </c>
      <c r="D40" s="163" t="s">
        <v>4</v>
      </c>
      <c r="E40" s="163" t="s">
        <v>4</v>
      </c>
      <c r="F40" s="163" t="s">
        <v>5</v>
      </c>
      <c r="G40" s="163" t="s">
        <v>6</v>
      </c>
      <c r="H40" s="163" t="s">
        <v>7</v>
      </c>
      <c r="I40" s="163" t="s">
        <v>2</v>
      </c>
      <c r="J40" s="163"/>
      <c r="K40" s="163" t="s">
        <v>3</v>
      </c>
      <c r="L40" s="163" t="s">
        <v>4</v>
      </c>
      <c r="M40" s="163" t="s">
        <v>4</v>
      </c>
      <c r="N40" s="163" t="s">
        <v>5</v>
      </c>
      <c r="O40" s="163" t="s">
        <v>6</v>
      </c>
      <c r="P40" s="163" t="s">
        <v>7</v>
      </c>
      <c r="Q40" s="163" t="s">
        <v>2</v>
      </c>
      <c r="R40" s="163"/>
      <c r="S40" s="163" t="s">
        <v>3</v>
      </c>
      <c r="T40" s="163" t="s">
        <v>4</v>
      </c>
      <c r="U40" s="163" t="s">
        <v>4</v>
      </c>
      <c r="V40" s="163" t="s">
        <v>5</v>
      </c>
      <c r="W40" s="163" t="s">
        <v>6</v>
      </c>
      <c r="X40" s="163" t="s">
        <v>7</v>
      </c>
      <c r="Y40" s="163" t="s">
        <v>2</v>
      </c>
      <c r="Z40" s="163"/>
      <c r="AA40" s="163" t="s">
        <v>3</v>
      </c>
      <c r="AB40" s="163" t="s">
        <v>4</v>
      </c>
      <c r="AC40" s="163" t="s">
        <v>4</v>
      </c>
      <c r="AD40" s="163" t="s">
        <v>5</v>
      </c>
      <c r="AE40" s="163" t="s">
        <v>6</v>
      </c>
      <c r="AF40" s="163" t="s">
        <v>7</v>
      </c>
      <c r="AG40" s="163" t="s">
        <v>2</v>
      </c>
      <c r="AH40" s="163"/>
      <c r="AI40" s="163" t="s">
        <v>3</v>
      </c>
      <c r="AJ40" s="163" t="s">
        <v>4</v>
      </c>
      <c r="AK40" s="163" t="s">
        <v>4</v>
      </c>
      <c r="AL40" s="163" t="s">
        <v>5</v>
      </c>
      <c r="AM40" s="163" t="s">
        <v>6</v>
      </c>
      <c r="AN40" s="163" t="s">
        <v>7</v>
      </c>
      <c r="AO40" s="163" t="s">
        <v>2</v>
      </c>
      <c r="AP40" s="163" t="s">
        <v>3</v>
      </c>
      <c r="AQ40" s="163" t="s">
        <v>4</v>
      </c>
      <c r="AR40" s="184"/>
      <c r="AS40" s="161"/>
    </row>
    <row r="41" spans="1:45">
      <c r="A41" s="164" t="s">
        <v>8</v>
      </c>
      <c r="B41" s="183"/>
      <c r="C41" s="168"/>
      <c r="D41" s="168"/>
      <c r="E41" s="168"/>
      <c r="F41" s="168"/>
      <c r="G41" s="168"/>
      <c r="H41" s="169"/>
      <c r="I41" s="169">
        <v>44682</v>
      </c>
      <c r="J41" s="166" t="s">
        <v>9</v>
      </c>
      <c r="K41" s="169">
        <v>44683</v>
      </c>
      <c r="L41" s="169">
        <v>44684</v>
      </c>
      <c r="M41" s="169">
        <v>44685</v>
      </c>
      <c r="N41" s="169">
        <v>44686</v>
      </c>
      <c r="O41" s="169">
        <v>44687</v>
      </c>
      <c r="P41" s="169">
        <v>44688</v>
      </c>
      <c r="Q41" s="169">
        <v>44689</v>
      </c>
      <c r="R41" s="166" t="s">
        <v>9</v>
      </c>
      <c r="S41" s="169">
        <v>44690</v>
      </c>
      <c r="T41" s="169">
        <v>44691</v>
      </c>
      <c r="U41" s="169">
        <v>44692</v>
      </c>
      <c r="V41" s="169">
        <v>44693</v>
      </c>
      <c r="W41" s="169">
        <v>44694</v>
      </c>
      <c r="X41" s="169">
        <v>44695</v>
      </c>
      <c r="Y41" s="169">
        <v>44696</v>
      </c>
      <c r="Z41" s="166" t="s">
        <v>9</v>
      </c>
      <c r="AA41" s="169">
        <v>44697</v>
      </c>
      <c r="AB41" s="169">
        <v>44698</v>
      </c>
      <c r="AC41" s="169">
        <v>44699</v>
      </c>
      <c r="AD41" s="169">
        <v>44700</v>
      </c>
      <c r="AE41" s="169">
        <v>44701</v>
      </c>
      <c r="AF41" s="169">
        <v>44702</v>
      </c>
      <c r="AG41" s="169">
        <v>44703</v>
      </c>
      <c r="AH41" s="166" t="s">
        <v>9</v>
      </c>
      <c r="AI41" s="169">
        <v>44704</v>
      </c>
      <c r="AJ41" s="314">
        <v>44705</v>
      </c>
      <c r="AK41" s="169">
        <v>44706</v>
      </c>
      <c r="AL41" s="169">
        <v>44707</v>
      </c>
      <c r="AM41" s="169">
        <v>44708</v>
      </c>
      <c r="AN41" s="169">
        <v>44709</v>
      </c>
      <c r="AO41" s="169">
        <v>44710</v>
      </c>
      <c r="AP41" s="169">
        <v>44711</v>
      </c>
      <c r="AQ41" s="169">
        <v>44712</v>
      </c>
      <c r="AR41" s="166" t="s">
        <v>9</v>
      </c>
      <c r="AS41" s="191" t="s">
        <v>10</v>
      </c>
    </row>
    <row r="42" spans="1:45">
      <c r="A42" s="170" t="s">
        <v>11</v>
      </c>
      <c r="B42" s="165"/>
      <c r="C42" s="172"/>
      <c r="D42" s="173"/>
      <c r="E42" s="173"/>
      <c r="F42" s="173"/>
      <c r="G42" s="173"/>
      <c r="H42" s="173"/>
      <c r="I42" s="173">
        <v>0</v>
      </c>
      <c r="J42" s="185">
        <f>SUM(C42:I42)</f>
        <v>0</v>
      </c>
      <c r="K42" s="173">
        <v>7462</v>
      </c>
      <c r="L42" s="173">
        <v>10358</v>
      </c>
      <c r="M42" s="173">
        <v>10358</v>
      </c>
      <c r="N42" s="173">
        <v>6411</v>
      </c>
      <c r="O42" s="173">
        <v>10309</v>
      </c>
      <c r="P42" s="173">
        <v>9751</v>
      </c>
      <c r="Q42" s="173">
        <v>0</v>
      </c>
      <c r="R42" s="185">
        <f>SUM(K42:Q42)</f>
        <v>54649</v>
      </c>
      <c r="S42" s="173">
        <v>6603</v>
      </c>
      <c r="T42" s="173">
        <v>3268.502</v>
      </c>
      <c r="U42" s="173">
        <v>7533.7170630000001</v>
      </c>
      <c r="V42" s="173">
        <v>6796.6962979999998</v>
      </c>
      <c r="W42" s="173">
        <v>4718.6574819999996</v>
      </c>
      <c r="X42" s="173">
        <v>4843.0989470000004</v>
      </c>
      <c r="Y42" s="173">
        <v>0</v>
      </c>
      <c r="Z42" s="185">
        <f>SUM(S42:Y42)</f>
        <v>33763.67179</v>
      </c>
      <c r="AA42" s="173">
        <v>5596</v>
      </c>
      <c r="AB42" s="173">
        <v>6154</v>
      </c>
      <c r="AC42" s="173">
        <v>9191</v>
      </c>
      <c r="AD42" s="173">
        <v>13199</v>
      </c>
      <c r="AE42" s="173">
        <v>6798</v>
      </c>
      <c r="AF42" s="173">
        <v>10457</v>
      </c>
      <c r="AG42" s="173">
        <v>0</v>
      </c>
      <c r="AH42" s="185">
        <f>SUM(AA42:AG42)</f>
        <v>51395</v>
      </c>
      <c r="AI42" s="173">
        <v>12247</v>
      </c>
      <c r="AJ42" s="173">
        <v>19081</v>
      </c>
      <c r="AK42" s="173">
        <v>8259</v>
      </c>
      <c r="AL42" s="173">
        <v>18938</v>
      </c>
      <c r="AM42" s="173">
        <v>7002</v>
      </c>
      <c r="AN42" s="173">
        <v>0</v>
      </c>
      <c r="AO42" s="173">
        <v>0</v>
      </c>
      <c r="AP42" s="173">
        <v>0</v>
      </c>
      <c r="AQ42" s="173">
        <v>0</v>
      </c>
      <c r="AR42" s="185">
        <f>SUM(AI42:AQ42)</f>
        <v>65527</v>
      </c>
      <c r="AS42" s="192">
        <f>SUM(J42,R42,Z42,AH42+AR42)</f>
        <v>205334.67178999999</v>
      </c>
    </row>
    <row r="43" spans="1:45">
      <c r="A43" s="170" t="s">
        <v>12</v>
      </c>
      <c r="B43" s="165"/>
      <c r="C43" s="172"/>
      <c r="D43" s="173"/>
      <c r="E43" s="173"/>
      <c r="F43" s="173"/>
      <c r="G43" s="173"/>
      <c r="H43" s="173"/>
      <c r="I43" s="173"/>
      <c r="J43" s="185">
        <f>SUM(C43:I43)</f>
        <v>0</v>
      </c>
      <c r="K43" s="173"/>
      <c r="L43" s="173"/>
      <c r="M43" s="173"/>
      <c r="N43" s="173"/>
      <c r="O43" s="173"/>
      <c r="P43" s="173"/>
      <c r="Q43" s="173"/>
      <c r="R43" s="185">
        <f>SUM(K43:Q43)</f>
        <v>0</v>
      </c>
      <c r="S43" s="173"/>
      <c r="T43" s="173"/>
      <c r="U43" s="173"/>
      <c r="V43" s="173"/>
      <c r="W43" s="173"/>
      <c r="X43" s="173"/>
      <c r="Y43" s="173"/>
      <c r="Z43" s="185">
        <f>SUM(S43:Y43)</f>
        <v>0</v>
      </c>
      <c r="AA43" s="173"/>
      <c r="AB43" s="173"/>
      <c r="AC43" s="173"/>
      <c r="AD43" s="173"/>
      <c r="AE43" s="173"/>
      <c r="AF43" s="173"/>
      <c r="AG43" s="173"/>
      <c r="AH43" s="185">
        <f>SUM(AA43:AG43)</f>
        <v>0</v>
      </c>
      <c r="AI43" s="173"/>
      <c r="AJ43" s="173"/>
      <c r="AK43" s="173"/>
      <c r="AL43" s="173"/>
      <c r="AM43" s="173"/>
      <c r="AN43" s="173"/>
      <c r="AO43" s="173"/>
      <c r="AP43" s="173"/>
      <c r="AQ43" s="173"/>
      <c r="AR43" s="185">
        <f t="shared" ref="AR43" si="26">SUM(AI43:AQ43)</f>
        <v>0</v>
      </c>
      <c r="AS43" s="192">
        <f>SUM(Z43,R43,J43,AH43,AR43)</f>
        <v>0</v>
      </c>
    </row>
    <row r="44" spans="1:45">
      <c r="A44" s="174" t="s">
        <v>13</v>
      </c>
      <c r="B44" s="173"/>
      <c r="C44" s="173"/>
      <c r="D44" s="173"/>
      <c r="E44" s="173"/>
      <c r="F44" s="173"/>
      <c r="G44" s="173"/>
      <c r="H44" s="173">
        <f>'P2'!B38</f>
        <v>0</v>
      </c>
      <c r="I44" s="173">
        <v>0</v>
      </c>
      <c r="J44" s="185">
        <f>SUM(C44:I44)</f>
        <v>0</v>
      </c>
      <c r="K44" s="173">
        <f>'P2'!C38</f>
        <v>11303</v>
      </c>
      <c r="L44" s="173"/>
      <c r="M44" s="173">
        <f>'P2'!E38</f>
        <v>12109</v>
      </c>
      <c r="N44" s="173"/>
      <c r="O44" s="173">
        <f>'P2'!H38</f>
        <v>0</v>
      </c>
      <c r="P44" s="173">
        <f>'P2'!I38</f>
        <v>0</v>
      </c>
      <c r="Q44" s="173">
        <f>'P2'!J38</f>
        <v>0</v>
      </c>
      <c r="R44" s="185">
        <f>SUM(K44:Q44)</f>
        <v>23412</v>
      </c>
      <c r="S44" s="173"/>
      <c r="T44" s="313">
        <f>'P2'!K38</f>
        <v>10460</v>
      </c>
      <c r="U44" s="173"/>
      <c r="V44" s="173"/>
      <c r="W44" s="173"/>
      <c r="X44" s="173"/>
      <c r="Y44" s="173"/>
      <c r="Z44" s="185">
        <f>SUM(S44:Y44)</f>
        <v>10460</v>
      </c>
      <c r="AA44" s="173"/>
      <c r="AB44" s="173">
        <f>'P2'!R38</f>
        <v>10716</v>
      </c>
      <c r="AC44" s="173"/>
      <c r="AD44" s="173"/>
      <c r="AE44" s="173">
        <f>'P2'!U38</f>
        <v>2430</v>
      </c>
      <c r="AF44" s="173">
        <f>'P2'!W38</f>
        <v>0</v>
      </c>
      <c r="AG44" s="173"/>
      <c r="AH44" s="185">
        <f>SUM(AA44:AG44)</f>
        <v>13146</v>
      </c>
      <c r="AI44" s="173">
        <f>'P2'!X38</f>
        <v>9771</v>
      </c>
      <c r="AJ44" s="173"/>
      <c r="AK44" s="173">
        <f>'P2'!Z38</f>
        <v>10864</v>
      </c>
      <c r="AL44" s="173"/>
      <c r="AM44" s="173"/>
      <c r="AN44" s="173"/>
      <c r="AO44" s="173"/>
      <c r="AP44" s="173"/>
      <c r="AQ44" s="173">
        <f>'P2'!AF38</f>
        <v>10224</v>
      </c>
      <c r="AR44" s="185">
        <f>SUM(AI44:AQ44)</f>
        <v>30859</v>
      </c>
      <c r="AS44" s="192">
        <f>SUM(Z44,R44,J44,,AH44,AR44)</f>
        <v>77877</v>
      </c>
    </row>
    <row r="45" spans="1:45">
      <c r="A45" s="164" t="s">
        <v>15</v>
      </c>
      <c r="B45" s="177" t="e">
        <f t="shared" ref="B45" si="27">B44/B42</f>
        <v>#DIV/0!</v>
      </c>
      <c r="C45" s="177" t="e">
        <f t="shared" ref="C45:J45" si="28">C44/C42</f>
        <v>#DIV/0!</v>
      </c>
      <c r="D45" s="177" t="e">
        <f t="shared" si="28"/>
        <v>#DIV/0!</v>
      </c>
      <c r="E45" s="177" t="e">
        <f t="shared" si="28"/>
        <v>#DIV/0!</v>
      </c>
      <c r="F45" s="177" t="e">
        <f t="shared" si="28"/>
        <v>#DIV/0!</v>
      </c>
      <c r="G45" s="177" t="e">
        <f t="shared" si="28"/>
        <v>#DIV/0!</v>
      </c>
      <c r="H45" s="177" t="e">
        <f t="shared" si="28"/>
        <v>#DIV/0!</v>
      </c>
      <c r="I45" s="177" t="e">
        <f>I44/I42</f>
        <v>#DIV/0!</v>
      </c>
      <c r="J45" s="176" t="e">
        <f t="shared" si="28"/>
        <v>#DIV/0!</v>
      </c>
      <c r="K45" s="177">
        <f t="shared" ref="K45:S45" si="29">K44/K42</f>
        <v>1.5147413562047709</v>
      </c>
      <c r="L45" s="177">
        <f t="shared" si="29"/>
        <v>0</v>
      </c>
      <c r="M45" s="177">
        <f t="shared" si="29"/>
        <v>1.1690480787796873</v>
      </c>
      <c r="N45" s="177">
        <f t="shared" si="29"/>
        <v>0</v>
      </c>
      <c r="O45" s="177">
        <f t="shared" si="29"/>
        <v>0</v>
      </c>
      <c r="P45" s="177">
        <f t="shared" si="29"/>
        <v>0</v>
      </c>
      <c r="Q45" s="177" t="e">
        <f t="shared" si="29"/>
        <v>#DIV/0!</v>
      </c>
      <c r="R45" s="176">
        <f t="shared" si="29"/>
        <v>0.42840674120294975</v>
      </c>
      <c r="S45" s="177">
        <f t="shared" si="29"/>
        <v>0</v>
      </c>
      <c r="T45" s="177">
        <f>T44/T42</f>
        <v>3.2002428023602252</v>
      </c>
      <c r="U45" s="177">
        <f t="shared" ref="U45:Z45" si="30">U44/U42</f>
        <v>0</v>
      </c>
      <c r="V45" s="177">
        <f t="shared" si="30"/>
        <v>0</v>
      </c>
      <c r="W45" s="177">
        <f t="shared" si="30"/>
        <v>0</v>
      </c>
      <c r="X45" s="177">
        <f t="shared" si="30"/>
        <v>0</v>
      </c>
      <c r="Y45" s="177" t="e">
        <f t="shared" si="30"/>
        <v>#DIV/0!</v>
      </c>
      <c r="Z45" s="176">
        <f t="shared" si="30"/>
        <v>0.309800428847256</v>
      </c>
      <c r="AA45" s="177">
        <f t="shared" ref="AA45:AH45" si="31">AA44/AA42</f>
        <v>0</v>
      </c>
      <c r="AB45" s="177">
        <f t="shared" si="31"/>
        <v>1.7413064673383165</v>
      </c>
      <c r="AC45" s="177">
        <f t="shared" si="31"/>
        <v>0</v>
      </c>
      <c r="AD45" s="177">
        <f t="shared" si="31"/>
        <v>0</v>
      </c>
      <c r="AE45" s="177">
        <f t="shared" si="31"/>
        <v>0.35745807590467782</v>
      </c>
      <c r="AF45" s="177">
        <f t="shared" si="31"/>
        <v>0</v>
      </c>
      <c r="AG45" s="177" t="e">
        <f t="shared" si="31"/>
        <v>#DIV/0!</v>
      </c>
      <c r="AH45" s="176">
        <f t="shared" si="31"/>
        <v>0.2557836365405195</v>
      </c>
      <c r="AI45" s="177">
        <f t="shared" ref="AI45:AS45" si="32">AI44/AI42</f>
        <v>0.79782803951988246</v>
      </c>
      <c r="AJ45" s="177">
        <f t="shared" si="32"/>
        <v>0</v>
      </c>
      <c r="AK45" s="177">
        <f t="shared" si="32"/>
        <v>1.3154134883157766</v>
      </c>
      <c r="AL45" s="177">
        <f t="shared" si="32"/>
        <v>0</v>
      </c>
      <c r="AM45" s="177">
        <f>AM44/AM42</f>
        <v>0</v>
      </c>
      <c r="AN45" s="177" t="e">
        <f>AN44/AN42</f>
        <v>#DIV/0!</v>
      </c>
      <c r="AO45" s="177" t="e">
        <f>AO44/AO42</f>
        <v>#DIV/0!</v>
      </c>
      <c r="AP45" s="177" t="e">
        <f>AP44/AP42</f>
        <v>#DIV/0!</v>
      </c>
      <c r="AQ45" s="177" t="e">
        <f t="shared" si="32"/>
        <v>#DIV/0!</v>
      </c>
      <c r="AR45" s="176">
        <f t="shared" si="32"/>
        <v>0.47093564484868833</v>
      </c>
      <c r="AS45" s="193">
        <f t="shared" si="32"/>
        <v>0.37926863164953661</v>
      </c>
    </row>
    <row r="46" spans="1:45">
      <c r="B46" s="151"/>
      <c r="C46" s="178"/>
      <c r="D46" s="178"/>
      <c r="E46" s="178"/>
      <c r="F46" s="178"/>
      <c r="G46" s="178"/>
      <c r="H46" s="186"/>
      <c r="I46" s="178"/>
      <c r="J46" s="151"/>
      <c r="K46" s="178"/>
      <c r="L46" s="178"/>
      <c r="M46" s="178"/>
      <c r="N46" s="178"/>
      <c r="O46" s="178"/>
      <c r="P46" s="178"/>
      <c r="Q46" s="188"/>
      <c r="R46" s="151"/>
      <c r="S46" s="189"/>
      <c r="T46" s="189"/>
      <c r="U46" s="189"/>
      <c r="V46" s="189"/>
      <c r="W46" s="189"/>
      <c r="X46" s="189"/>
      <c r="Y46" s="189"/>
      <c r="Z46" s="151"/>
      <c r="AA46" s="188"/>
      <c r="AB46" s="178"/>
      <c r="AC46" s="178"/>
      <c r="AD46" s="178"/>
      <c r="AE46" s="178"/>
      <c r="AF46" s="178"/>
      <c r="AG46" s="178"/>
      <c r="AH46" s="151"/>
      <c r="AI46" s="178"/>
      <c r="AJ46" s="188"/>
      <c r="AK46" s="189"/>
      <c r="AL46" s="189"/>
      <c r="AM46" s="189"/>
      <c r="AN46" s="189"/>
      <c r="AO46" s="189"/>
      <c r="AP46" s="189"/>
      <c r="AQ46" s="189"/>
      <c r="AR46" s="151"/>
      <c r="AS46" s="47"/>
    </row>
    <row r="47" spans="1:45">
      <c r="B47" s="179"/>
      <c r="C47" s="180"/>
      <c r="D47" s="180"/>
      <c r="E47" s="180"/>
      <c r="F47" s="180"/>
      <c r="G47" s="180"/>
      <c r="H47" s="187"/>
      <c r="I47" s="180"/>
      <c r="J47" s="179"/>
      <c r="K47" s="180"/>
      <c r="L47" s="180"/>
      <c r="M47" s="180"/>
      <c r="N47" s="180"/>
      <c r="O47" s="180"/>
      <c r="P47" s="180"/>
      <c r="Q47" s="187"/>
      <c r="R47" s="179"/>
      <c r="S47" s="180"/>
      <c r="T47" s="180"/>
      <c r="U47" s="180"/>
      <c r="V47" s="180"/>
      <c r="W47" s="180"/>
      <c r="X47" s="180"/>
      <c r="Y47" s="180"/>
      <c r="Z47" s="179"/>
      <c r="AA47" s="187"/>
      <c r="AB47" s="180"/>
      <c r="AC47" s="180"/>
      <c r="AD47" s="180"/>
      <c r="AE47" s="180"/>
      <c r="AF47" s="180"/>
      <c r="AG47" s="180"/>
      <c r="AH47" s="179"/>
      <c r="AI47" s="180"/>
      <c r="AJ47" s="187"/>
      <c r="AK47" s="180"/>
      <c r="AL47" s="180"/>
      <c r="AM47" s="180"/>
      <c r="AN47" s="180"/>
      <c r="AO47" s="180"/>
      <c r="AP47" s="180"/>
      <c r="AQ47" s="180"/>
      <c r="AR47" s="194" t="s">
        <v>16</v>
      </c>
      <c r="AS47" s="121"/>
    </row>
    <row r="48" spans="1:45">
      <c r="B48" s="181"/>
      <c r="C48" s="160"/>
      <c r="D48" s="182"/>
      <c r="E48" s="160"/>
      <c r="F48" s="160"/>
      <c r="G48" s="182"/>
      <c r="H48" s="182"/>
      <c r="I48" s="182"/>
      <c r="J48" s="181"/>
      <c r="K48" s="182"/>
      <c r="L48" s="182"/>
      <c r="M48" s="160"/>
      <c r="N48" s="160"/>
      <c r="O48" s="182"/>
      <c r="P48" s="182"/>
      <c r="Q48" s="160"/>
      <c r="R48" s="181"/>
      <c r="S48" s="160"/>
      <c r="T48" s="160"/>
      <c r="U48" s="160"/>
      <c r="V48" s="160"/>
      <c r="W48" s="160"/>
      <c r="X48" s="160"/>
      <c r="Y48" s="160"/>
      <c r="Z48" s="181"/>
      <c r="AA48" s="160"/>
      <c r="AB48" s="160"/>
      <c r="AC48" s="160"/>
      <c r="AD48" s="160"/>
      <c r="AE48" s="160"/>
      <c r="AF48" s="160"/>
      <c r="AG48" s="160"/>
      <c r="AH48" s="181"/>
      <c r="AI48" s="160"/>
      <c r="AJ48" s="160"/>
      <c r="AK48" s="160"/>
      <c r="AL48" s="160"/>
      <c r="AM48" s="190"/>
      <c r="AN48" s="160"/>
      <c r="AO48" s="160"/>
      <c r="AP48" s="160"/>
      <c r="AQ48" s="160"/>
      <c r="AR48" s="195" t="s">
        <v>17</v>
      </c>
      <c r="AS48" s="196"/>
    </row>
    <row r="49" spans="1:45">
      <c r="A49" s="304" t="s">
        <v>22</v>
      </c>
      <c r="B49" s="163" t="s">
        <v>2</v>
      </c>
      <c r="C49" s="163" t="s">
        <v>3</v>
      </c>
      <c r="D49" s="163" t="s">
        <v>4</v>
      </c>
      <c r="E49" s="163" t="s">
        <v>4</v>
      </c>
      <c r="F49" s="163" t="s">
        <v>5</v>
      </c>
      <c r="G49" s="163" t="s">
        <v>6</v>
      </c>
      <c r="H49" s="163" t="s">
        <v>7</v>
      </c>
      <c r="I49" s="163" t="s">
        <v>2</v>
      </c>
      <c r="J49" s="163"/>
      <c r="K49" s="163" t="s">
        <v>3</v>
      </c>
      <c r="L49" s="163" t="s">
        <v>4</v>
      </c>
      <c r="M49" s="163" t="s">
        <v>4</v>
      </c>
      <c r="N49" s="163" t="s">
        <v>5</v>
      </c>
      <c r="O49" s="163" t="s">
        <v>6</v>
      </c>
      <c r="P49" s="163" t="s">
        <v>7</v>
      </c>
      <c r="Q49" s="163" t="s">
        <v>2</v>
      </c>
      <c r="R49" s="163"/>
      <c r="S49" s="163" t="s">
        <v>3</v>
      </c>
      <c r="T49" s="163" t="s">
        <v>4</v>
      </c>
      <c r="U49" s="163" t="s">
        <v>4</v>
      </c>
      <c r="V49" s="163" t="s">
        <v>5</v>
      </c>
      <c r="W49" s="163" t="s">
        <v>6</v>
      </c>
      <c r="X49" s="163" t="s">
        <v>7</v>
      </c>
      <c r="Y49" s="163" t="s">
        <v>2</v>
      </c>
      <c r="Z49" s="163"/>
      <c r="AA49" s="163" t="s">
        <v>3</v>
      </c>
      <c r="AB49" s="163" t="s">
        <v>4</v>
      </c>
      <c r="AC49" s="163" t="s">
        <v>4</v>
      </c>
      <c r="AD49" s="163" t="s">
        <v>5</v>
      </c>
      <c r="AE49" s="163" t="s">
        <v>6</v>
      </c>
      <c r="AF49" s="163" t="s">
        <v>7</v>
      </c>
      <c r="AG49" s="163" t="s">
        <v>2</v>
      </c>
      <c r="AH49" s="163"/>
      <c r="AI49" s="163" t="s">
        <v>3</v>
      </c>
      <c r="AJ49" s="163" t="s">
        <v>4</v>
      </c>
      <c r="AK49" s="163" t="s">
        <v>4</v>
      </c>
      <c r="AL49" s="163" t="s">
        <v>5</v>
      </c>
      <c r="AM49" s="163" t="s">
        <v>6</v>
      </c>
      <c r="AN49" s="163" t="s">
        <v>7</v>
      </c>
      <c r="AO49" s="163"/>
      <c r="AP49" s="163"/>
      <c r="AQ49" s="163" t="s">
        <v>2</v>
      </c>
      <c r="AR49" s="151"/>
      <c r="AS49" s="47">
        <f>SUM(C49:AR49)</f>
        <v>0</v>
      </c>
    </row>
    <row r="50" spans="1:45">
      <c r="A50" s="164" t="s">
        <v>8</v>
      </c>
      <c r="B50" s="183"/>
      <c r="C50" s="168"/>
      <c r="D50" s="169"/>
      <c r="E50" s="169">
        <v>44713</v>
      </c>
      <c r="F50" s="169">
        <v>44714</v>
      </c>
      <c r="G50" s="169">
        <v>44715</v>
      </c>
      <c r="H50" s="169">
        <v>44716</v>
      </c>
      <c r="I50" s="169">
        <v>44717</v>
      </c>
      <c r="J50" s="166" t="s">
        <v>9</v>
      </c>
      <c r="K50" s="169">
        <v>44718</v>
      </c>
      <c r="L50" s="169">
        <v>44719</v>
      </c>
      <c r="M50" s="169">
        <v>44720</v>
      </c>
      <c r="N50" s="169">
        <v>44721</v>
      </c>
      <c r="O50" s="169">
        <v>44722</v>
      </c>
      <c r="P50" s="169">
        <v>44723</v>
      </c>
      <c r="Q50" s="169">
        <v>44724</v>
      </c>
      <c r="R50" s="166" t="s">
        <v>9</v>
      </c>
      <c r="S50" s="169">
        <v>44725</v>
      </c>
      <c r="T50" s="169">
        <v>44726</v>
      </c>
      <c r="U50" s="169">
        <v>44727</v>
      </c>
      <c r="V50" s="169">
        <v>44728</v>
      </c>
      <c r="W50" s="169">
        <v>44729</v>
      </c>
      <c r="X50" s="169">
        <v>44730</v>
      </c>
      <c r="Y50" s="169">
        <v>44731</v>
      </c>
      <c r="Z50" s="166" t="s">
        <v>9</v>
      </c>
      <c r="AA50" s="169">
        <v>44732</v>
      </c>
      <c r="AB50" s="169">
        <v>44733</v>
      </c>
      <c r="AC50" s="169">
        <v>44734</v>
      </c>
      <c r="AD50" s="169">
        <v>44735</v>
      </c>
      <c r="AE50" s="169">
        <v>44736</v>
      </c>
      <c r="AF50" s="169">
        <v>44737</v>
      </c>
      <c r="AG50" s="169">
        <v>44738</v>
      </c>
      <c r="AH50" s="166" t="s">
        <v>9</v>
      </c>
      <c r="AI50" s="169">
        <v>44739</v>
      </c>
      <c r="AJ50" s="169">
        <v>44740</v>
      </c>
      <c r="AK50" s="169">
        <v>44741</v>
      </c>
      <c r="AL50" s="169">
        <v>44742</v>
      </c>
      <c r="AM50" s="169"/>
      <c r="AN50" s="169"/>
      <c r="AO50" s="169"/>
      <c r="AP50" s="169"/>
      <c r="AQ50" s="169"/>
      <c r="AR50" s="166" t="s">
        <v>9</v>
      </c>
      <c r="AS50" s="191" t="s">
        <v>10</v>
      </c>
    </row>
    <row r="51" spans="1:45">
      <c r="A51" s="170" t="s">
        <v>11</v>
      </c>
      <c r="B51" s="165"/>
      <c r="C51" s="172"/>
      <c r="D51" s="173"/>
      <c r="E51" s="173">
        <v>7003</v>
      </c>
      <c r="F51" s="173">
        <v>7683</v>
      </c>
      <c r="G51" s="173">
        <v>12552</v>
      </c>
      <c r="H51" s="173">
        <v>3577</v>
      </c>
      <c r="I51" s="173">
        <v>0</v>
      </c>
      <c r="J51" s="185">
        <f>SUM(C51:I51)</f>
        <v>30815</v>
      </c>
      <c r="K51" s="173">
        <v>5719</v>
      </c>
      <c r="L51" s="173">
        <v>14284.03206</v>
      </c>
      <c r="M51" s="173">
        <v>8482.4961760000006</v>
      </c>
      <c r="N51" s="173">
        <v>10280</v>
      </c>
      <c r="O51" s="173">
        <v>12735</v>
      </c>
      <c r="P51" s="173">
        <v>4600</v>
      </c>
      <c r="Q51" s="173">
        <v>0</v>
      </c>
      <c r="R51" s="185">
        <f>SUM(K51:Q51)</f>
        <v>56100.528235999998</v>
      </c>
      <c r="S51" s="173">
        <v>10382.32576</v>
      </c>
      <c r="T51" s="173">
        <v>8023.1847529999995</v>
      </c>
      <c r="U51" s="173">
        <v>1295.64607</v>
      </c>
      <c r="V51" s="173">
        <v>3760.75713</v>
      </c>
      <c r="W51" s="173">
        <v>12535</v>
      </c>
      <c r="X51" s="173">
        <v>3741.7132700000002</v>
      </c>
      <c r="Y51" s="173">
        <v>0</v>
      </c>
      <c r="Z51" s="185">
        <f>SUM(S51:Y51)</f>
        <v>39738.626983000002</v>
      </c>
      <c r="AA51" s="173">
        <v>17961.008860000002</v>
      </c>
      <c r="AB51" s="173">
        <v>6597.5943850000003</v>
      </c>
      <c r="AC51" s="173">
        <v>8813.4509519999992</v>
      </c>
      <c r="AD51" s="173">
        <v>12703.29199</v>
      </c>
      <c r="AE51" s="173">
        <v>8488.7880000000005</v>
      </c>
      <c r="AF51" s="173">
        <v>3400.5619999999999</v>
      </c>
      <c r="AG51" s="173">
        <v>0</v>
      </c>
      <c r="AH51" s="185">
        <f>SUM(AA51:AG51)</f>
        <v>57964.696187000001</v>
      </c>
      <c r="AI51" s="173">
        <v>7232.94949</v>
      </c>
      <c r="AJ51" s="173">
        <v>10324.66815</v>
      </c>
      <c r="AK51" s="173">
        <v>7541.5814559999999</v>
      </c>
      <c r="AL51" s="173">
        <v>17368.549749999998</v>
      </c>
      <c r="AM51" s="173"/>
      <c r="AN51" s="173"/>
      <c r="AO51" s="173"/>
      <c r="AP51" s="173"/>
      <c r="AQ51" s="173"/>
      <c r="AR51" s="185">
        <f>AI51+AJ51+AK51+AL51+AM51+AN51+AQ51</f>
        <v>42467.748846000002</v>
      </c>
      <c r="AS51" s="192">
        <f>J51+R51+Z51+AH51+AR51</f>
        <v>227086.600252</v>
      </c>
    </row>
    <row r="52" spans="1:45">
      <c r="A52" s="170" t="s">
        <v>12</v>
      </c>
      <c r="B52" s="165"/>
      <c r="C52" s="172"/>
      <c r="D52" s="173"/>
      <c r="E52" s="173"/>
      <c r="F52" s="173"/>
      <c r="G52" s="173"/>
      <c r="H52" s="173"/>
      <c r="I52" s="173"/>
      <c r="J52" s="185">
        <f>SUM(C52:I52)</f>
        <v>0</v>
      </c>
      <c r="K52" s="173"/>
      <c r="L52" s="173"/>
      <c r="M52" s="173"/>
      <c r="N52" s="173"/>
      <c r="O52" s="173"/>
      <c r="P52" s="173"/>
      <c r="Q52" s="173"/>
      <c r="R52" s="185">
        <f>SUM(K52:Q52)</f>
        <v>0</v>
      </c>
      <c r="S52" s="173"/>
      <c r="T52" s="173"/>
      <c r="U52" s="173"/>
      <c r="V52" s="173"/>
      <c r="W52" s="173"/>
      <c r="X52" s="173"/>
      <c r="Y52" s="173"/>
      <c r="Z52" s="185">
        <f>SUM(S52:Y52)</f>
        <v>0</v>
      </c>
      <c r="AA52" s="173"/>
      <c r="AB52" s="173"/>
      <c r="AC52" s="173"/>
      <c r="AD52" s="173"/>
      <c r="AE52" s="173"/>
      <c r="AF52" s="173"/>
      <c r="AG52" s="173"/>
      <c r="AH52" s="185">
        <f>SUM(AA52:AG52)</f>
        <v>0</v>
      </c>
      <c r="AI52" s="173"/>
      <c r="AJ52" s="173"/>
      <c r="AK52" s="173"/>
      <c r="AL52" s="173"/>
      <c r="AM52" s="173"/>
      <c r="AN52" s="173"/>
      <c r="AO52" s="173"/>
      <c r="AP52" s="173"/>
      <c r="AQ52" s="173"/>
      <c r="AR52" s="185">
        <f t="shared" ref="AR52" si="33">AI52+AJ52+AK52+AL52+AM52+AN52+AQ52</f>
        <v>0</v>
      </c>
      <c r="AS52" s="192">
        <f>J52+R52+Z52+AH52+AR52</f>
        <v>0</v>
      </c>
    </row>
    <row r="53" spans="1:45">
      <c r="A53" s="174" t="s">
        <v>13</v>
      </c>
      <c r="B53" s="173"/>
      <c r="C53" s="173"/>
      <c r="D53" s="173"/>
      <c r="E53" s="173">
        <v>0</v>
      </c>
      <c r="F53" s="173">
        <v>0</v>
      </c>
      <c r="G53" s="173">
        <v>0</v>
      </c>
      <c r="H53" s="173">
        <v>0</v>
      </c>
      <c r="I53" s="173">
        <v>0</v>
      </c>
      <c r="J53" s="185">
        <f>SUM(C53:I53)</f>
        <v>0</v>
      </c>
      <c r="K53" s="173">
        <v>0</v>
      </c>
      <c r="L53" s="173">
        <v>0</v>
      </c>
      <c r="M53" s="173">
        <f>'P2'!I46</f>
        <v>10962</v>
      </c>
      <c r="N53" s="173"/>
      <c r="O53" s="173">
        <f>'P2'!K46</f>
        <v>9676</v>
      </c>
      <c r="P53" s="173">
        <f>'P2'!M46</f>
        <v>0</v>
      </c>
      <c r="Q53" s="173">
        <f>'P2'!N46</f>
        <v>0</v>
      </c>
      <c r="R53" s="185">
        <f>SUM(K53:Q53)</f>
        <v>20638</v>
      </c>
      <c r="S53" s="173">
        <v>0</v>
      </c>
      <c r="T53" s="173">
        <v>0</v>
      </c>
      <c r="U53" s="173">
        <v>0</v>
      </c>
      <c r="V53" s="173">
        <f>'P2'!Q46</f>
        <v>12651</v>
      </c>
      <c r="W53" s="173">
        <f>'P2'!S46</f>
        <v>0</v>
      </c>
      <c r="X53" s="173">
        <f>'P2'!T46</f>
        <v>0</v>
      </c>
      <c r="Y53" s="173">
        <f>'P2'!U46</f>
        <v>0</v>
      </c>
      <c r="Z53" s="185">
        <f>SUM(S53:Y53)</f>
        <v>12651</v>
      </c>
      <c r="AA53" s="173"/>
      <c r="AB53" s="173"/>
      <c r="AC53" s="173">
        <f>'P2'!W46</f>
        <v>10173</v>
      </c>
      <c r="AD53" s="173"/>
      <c r="AE53" s="173"/>
      <c r="AF53" s="173">
        <f>'P2'!AA46</f>
        <v>0</v>
      </c>
      <c r="AG53" s="173"/>
      <c r="AH53" s="185">
        <f>SUM(AA53:AG53)</f>
        <v>10173</v>
      </c>
      <c r="AI53" s="173">
        <f>'P2'!AB46</f>
        <v>9656</v>
      </c>
      <c r="AJ53" s="173"/>
      <c r="AK53" s="173"/>
      <c r="AL53" s="173">
        <f>'P2'!AE46</f>
        <v>1970</v>
      </c>
      <c r="AM53" s="173"/>
      <c r="AN53" s="173">
        <f>'P2'!AH46</f>
        <v>0</v>
      </c>
      <c r="AO53" s="173"/>
      <c r="AP53" s="173"/>
      <c r="AQ53" s="173">
        <f>'P2'!AI46</f>
        <v>0</v>
      </c>
      <c r="AR53" s="185">
        <f>AI53+AJ53+AK53+AL53+AM53+AN53+AQ53</f>
        <v>11626</v>
      </c>
      <c r="AS53" s="192">
        <f>J53+R53+Z53+AH53+AR53</f>
        <v>55088</v>
      </c>
    </row>
    <row r="54" spans="1:45">
      <c r="A54" s="164" t="s">
        <v>15</v>
      </c>
      <c r="B54" s="177" t="e">
        <f t="shared" ref="B54" si="34">B53/B51</f>
        <v>#DIV/0!</v>
      </c>
      <c r="C54" s="177" t="e">
        <f t="shared" ref="C54:J54" si="35">C53/C51</f>
        <v>#DIV/0!</v>
      </c>
      <c r="D54" s="177" t="e">
        <f t="shared" si="35"/>
        <v>#DIV/0!</v>
      </c>
      <c r="E54" s="177">
        <f t="shared" si="35"/>
        <v>0</v>
      </c>
      <c r="F54" s="177">
        <f t="shared" si="35"/>
        <v>0</v>
      </c>
      <c r="G54" s="177">
        <f t="shared" si="35"/>
        <v>0</v>
      </c>
      <c r="H54" s="177">
        <f t="shared" si="35"/>
        <v>0</v>
      </c>
      <c r="I54" s="177" t="e">
        <f t="shared" si="35"/>
        <v>#DIV/0!</v>
      </c>
      <c r="J54" s="176">
        <f t="shared" si="35"/>
        <v>0</v>
      </c>
      <c r="K54" s="177">
        <f t="shared" ref="K54:S54" si="36">K53/K51</f>
        <v>0</v>
      </c>
      <c r="L54" s="177">
        <f t="shared" si="36"/>
        <v>0</v>
      </c>
      <c r="M54" s="177">
        <f t="shared" si="36"/>
        <v>1.2923082748938217</v>
      </c>
      <c r="N54" s="177">
        <f t="shared" si="36"/>
        <v>0</v>
      </c>
      <c r="O54" s="177">
        <f t="shared" si="36"/>
        <v>0.75979583824106789</v>
      </c>
      <c r="P54" s="177">
        <f t="shared" si="36"/>
        <v>0</v>
      </c>
      <c r="Q54" s="177" t="e">
        <f t="shared" si="36"/>
        <v>#DIV/0!</v>
      </c>
      <c r="R54" s="176">
        <f t="shared" si="36"/>
        <v>0.36787532397522932</v>
      </c>
      <c r="S54" s="177">
        <f t="shared" si="36"/>
        <v>0</v>
      </c>
      <c r="T54" s="177">
        <f t="shared" ref="T54:Z54" si="37">T53/T51</f>
        <v>0</v>
      </c>
      <c r="U54" s="177">
        <f t="shared" si="37"/>
        <v>0</v>
      </c>
      <c r="V54" s="177">
        <f t="shared" si="37"/>
        <v>3.3639502798735639</v>
      </c>
      <c r="W54" s="177">
        <f t="shared" si="37"/>
        <v>0</v>
      </c>
      <c r="X54" s="177">
        <f t="shared" si="37"/>
        <v>0</v>
      </c>
      <c r="Y54" s="177" t="e">
        <f t="shared" si="37"/>
        <v>#DIV/0!</v>
      </c>
      <c r="Z54" s="176">
        <f t="shared" si="37"/>
        <v>0.3183552367174648</v>
      </c>
      <c r="AA54" s="177">
        <f t="shared" ref="AA54:AH54" si="38">AA53/AA51</f>
        <v>0</v>
      </c>
      <c r="AB54" s="177">
        <f t="shared" si="38"/>
        <v>0</v>
      </c>
      <c r="AC54" s="177">
        <f t="shared" si="38"/>
        <v>1.1542584233354682</v>
      </c>
      <c r="AD54" s="177">
        <f t="shared" si="38"/>
        <v>0</v>
      </c>
      <c r="AE54" s="177">
        <f t="shared" si="38"/>
        <v>0</v>
      </c>
      <c r="AF54" s="177">
        <f t="shared" si="38"/>
        <v>0</v>
      </c>
      <c r="AG54" s="177" t="e">
        <f t="shared" si="38"/>
        <v>#DIV/0!</v>
      </c>
      <c r="AH54" s="176">
        <f t="shared" si="38"/>
        <v>0.17550337824907886</v>
      </c>
      <c r="AI54" s="177">
        <f t="shared" ref="AI54:AR54" si="39">AI53/AI51</f>
        <v>1.3350017186418925</v>
      </c>
      <c r="AJ54" s="177">
        <f t="shared" si="39"/>
        <v>0</v>
      </c>
      <c r="AK54" s="177">
        <f t="shared" si="39"/>
        <v>0</v>
      </c>
      <c r="AL54" s="177">
        <f t="shared" si="39"/>
        <v>0.11342340197401918</v>
      </c>
      <c r="AM54" s="177" t="e">
        <f t="shared" si="39"/>
        <v>#DIV/0!</v>
      </c>
      <c r="AN54" s="177" t="e">
        <f t="shared" si="39"/>
        <v>#DIV/0!</v>
      </c>
      <c r="AO54" s="177"/>
      <c r="AP54" s="177"/>
      <c r="AQ54" s="177">
        <v>0</v>
      </c>
      <c r="AR54" s="176">
        <f t="shared" si="39"/>
        <v>0.27376068465882536</v>
      </c>
      <c r="AS54" s="193">
        <f>AS53/AS51</f>
        <v>0.24258586785335798</v>
      </c>
    </row>
    <row r="55" spans="1:45">
      <c r="B55" s="151"/>
      <c r="C55" s="178"/>
      <c r="D55" s="178"/>
      <c r="E55" s="178"/>
      <c r="F55" s="178"/>
      <c r="G55" s="178"/>
      <c r="H55" s="186"/>
      <c r="I55" s="178"/>
      <c r="J55" s="151"/>
      <c r="K55" s="178"/>
      <c r="L55" s="178"/>
      <c r="M55" s="178"/>
      <c r="N55" s="178"/>
      <c r="O55" s="178"/>
      <c r="P55" s="178"/>
      <c r="Q55" s="188"/>
      <c r="R55" s="151"/>
      <c r="S55" s="189"/>
      <c r="T55" s="189"/>
      <c r="U55" s="189"/>
      <c r="V55" s="189"/>
      <c r="W55" s="189"/>
      <c r="X55" s="189"/>
      <c r="Y55" s="189"/>
      <c r="Z55" s="151"/>
      <c r="AA55" s="188"/>
      <c r="AB55" s="178"/>
      <c r="AC55" s="178"/>
      <c r="AD55" s="178"/>
      <c r="AE55" s="178"/>
      <c r="AF55" s="178"/>
      <c r="AG55" s="178"/>
      <c r="AH55" s="151"/>
      <c r="AI55" s="178"/>
      <c r="AJ55" s="188"/>
      <c r="AK55" s="189"/>
      <c r="AL55" s="189"/>
      <c r="AM55" s="189"/>
      <c r="AN55" s="189"/>
      <c r="AO55" s="189"/>
      <c r="AP55" s="189"/>
      <c r="AQ55" s="189"/>
      <c r="AR55" s="151"/>
      <c r="AS55" s="47"/>
    </row>
    <row r="56" spans="1:45">
      <c r="B56" s="179"/>
      <c r="C56" s="180"/>
      <c r="D56" s="180"/>
      <c r="E56" s="180"/>
      <c r="F56" s="180"/>
      <c r="G56" s="180"/>
      <c r="H56" s="180"/>
      <c r="I56" s="180"/>
      <c r="J56" s="179"/>
      <c r="K56" s="180"/>
      <c r="L56" s="180"/>
      <c r="M56" s="180"/>
      <c r="N56" s="180"/>
      <c r="O56" s="180"/>
      <c r="P56" s="180"/>
      <c r="Q56" s="187"/>
      <c r="R56" s="179"/>
      <c r="S56" s="180"/>
      <c r="T56" s="180"/>
      <c r="U56" s="180"/>
      <c r="V56" s="180"/>
      <c r="W56" s="180"/>
      <c r="X56" s="180"/>
      <c r="Y56" s="180"/>
      <c r="Z56" s="179"/>
      <c r="AA56" s="187"/>
      <c r="AB56" s="180"/>
      <c r="AC56" s="180"/>
      <c r="AD56" s="180"/>
      <c r="AE56" s="180"/>
      <c r="AF56" s="180"/>
      <c r="AG56" s="180"/>
      <c r="AH56" s="179"/>
      <c r="AI56" s="180"/>
      <c r="AJ56" s="187"/>
      <c r="AK56" s="180"/>
      <c r="AL56" s="180"/>
      <c r="AM56" s="180"/>
      <c r="AN56" s="180"/>
      <c r="AO56" s="180"/>
      <c r="AP56" s="180"/>
      <c r="AQ56" s="180"/>
      <c r="AR56" s="194" t="s">
        <v>16</v>
      </c>
      <c r="AS56" s="121"/>
    </row>
    <row r="57" spans="1:45">
      <c r="B57" s="181"/>
      <c r="C57" s="160"/>
      <c r="D57" s="182"/>
      <c r="E57" s="160"/>
      <c r="F57" s="160"/>
      <c r="G57" s="182"/>
      <c r="H57" s="182"/>
      <c r="I57" s="182"/>
      <c r="J57" s="181"/>
      <c r="K57" s="182"/>
      <c r="L57" s="182"/>
      <c r="M57" s="160"/>
      <c r="N57" s="160"/>
      <c r="O57" s="182"/>
      <c r="P57" s="182"/>
      <c r="Q57" s="160"/>
      <c r="R57" s="181"/>
      <c r="S57" s="160"/>
      <c r="T57" s="160"/>
      <c r="U57" s="160"/>
      <c r="V57" s="160"/>
      <c r="W57" s="160"/>
      <c r="X57" s="160"/>
      <c r="Y57" s="160"/>
      <c r="Z57" s="181"/>
      <c r="AA57" s="160"/>
      <c r="AB57" s="160"/>
      <c r="AC57" s="160"/>
      <c r="AD57" s="160"/>
      <c r="AE57" s="160"/>
      <c r="AF57" s="160"/>
      <c r="AG57" s="160"/>
      <c r="AH57" s="181"/>
      <c r="AI57" s="160"/>
      <c r="AJ57" s="160"/>
      <c r="AK57" s="160"/>
      <c r="AL57" s="160"/>
      <c r="AM57" s="190"/>
      <c r="AN57" s="160"/>
      <c r="AO57" s="160"/>
      <c r="AP57" s="160"/>
      <c r="AQ57" s="160"/>
      <c r="AR57" s="195" t="s">
        <v>17</v>
      </c>
      <c r="AS57" s="196"/>
    </row>
    <row r="58" spans="1:45">
      <c r="A58" s="304" t="s">
        <v>23</v>
      </c>
      <c r="B58" s="163" t="s">
        <v>2</v>
      </c>
      <c r="C58" s="163" t="s">
        <v>3</v>
      </c>
      <c r="D58" s="163" t="s">
        <v>4</v>
      </c>
      <c r="E58" s="163" t="s">
        <v>4</v>
      </c>
      <c r="F58" s="163" t="s">
        <v>5</v>
      </c>
      <c r="G58" s="163" t="s">
        <v>6</v>
      </c>
      <c r="H58" s="163" t="s">
        <v>7</v>
      </c>
      <c r="I58" s="163" t="s">
        <v>2</v>
      </c>
      <c r="J58" s="163"/>
      <c r="K58" s="163" t="s">
        <v>3</v>
      </c>
      <c r="L58" s="163" t="s">
        <v>4</v>
      </c>
      <c r="M58" s="163" t="s">
        <v>4</v>
      </c>
      <c r="N58" s="163" t="s">
        <v>5</v>
      </c>
      <c r="O58" s="163" t="s">
        <v>6</v>
      </c>
      <c r="P58" s="163" t="s">
        <v>7</v>
      </c>
      <c r="Q58" s="163" t="s">
        <v>2</v>
      </c>
      <c r="R58" s="163"/>
      <c r="S58" s="163" t="s">
        <v>3</v>
      </c>
      <c r="T58" s="163" t="s">
        <v>4</v>
      </c>
      <c r="U58" s="163" t="s">
        <v>4</v>
      </c>
      <c r="V58" s="163" t="s">
        <v>5</v>
      </c>
      <c r="W58" s="163" t="s">
        <v>6</v>
      </c>
      <c r="X58" s="163" t="s">
        <v>7</v>
      </c>
      <c r="Y58" s="163" t="s">
        <v>2</v>
      </c>
      <c r="Z58" s="163"/>
      <c r="AA58" s="163" t="s">
        <v>3</v>
      </c>
      <c r="AB58" s="163" t="s">
        <v>4</v>
      </c>
      <c r="AC58" s="163" t="s">
        <v>4</v>
      </c>
      <c r="AD58" s="163" t="s">
        <v>5</v>
      </c>
      <c r="AE58" s="163" t="s">
        <v>6</v>
      </c>
      <c r="AF58" s="163" t="s">
        <v>7</v>
      </c>
      <c r="AG58" s="163" t="s">
        <v>2</v>
      </c>
      <c r="AH58" s="163"/>
      <c r="AI58" s="163" t="s">
        <v>3</v>
      </c>
      <c r="AJ58" s="163" t="s">
        <v>4</v>
      </c>
      <c r="AK58" s="163" t="s">
        <v>4</v>
      </c>
      <c r="AL58" s="163" t="s">
        <v>5</v>
      </c>
      <c r="AM58" s="163" t="s">
        <v>6</v>
      </c>
      <c r="AN58" s="163" t="s">
        <v>7</v>
      </c>
      <c r="AO58" s="163" t="s">
        <v>2</v>
      </c>
      <c r="AP58" s="163"/>
      <c r="AQ58" s="163"/>
      <c r="AR58" s="151"/>
      <c r="AS58" s="47"/>
    </row>
    <row r="59" spans="1:45">
      <c r="A59" s="164" t="s">
        <v>8</v>
      </c>
      <c r="B59" s="183"/>
      <c r="C59" s="168"/>
      <c r="D59" s="168"/>
      <c r="E59" s="169"/>
      <c r="F59" s="169"/>
      <c r="G59" s="169">
        <v>44743</v>
      </c>
      <c r="H59" s="169">
        <v>44744</v>
      </c>
      <c r="I59" s="169">
        <v>44745</v>
      </c>
      <c r="J59" s="166" t="s">
        <v>9</v>
      </c>
      <c r="K59" s="169">
        <v>44746</v>
      </c>
      <c r="L59" s="169">
        <v>44747</v>
      </c>
      <c r="M59" s="169">
        <v>44748</v>
      </c>
      <c r="N59" s="169">
        <v>44749</v>
      </c>
      <c r="O59" s="169">
        <v>44750</v>
      </c>
      <c r="P59" s="169">
        <v>44751</v>
      </c>
      <c r="Q59" s="169">
        <v>44752</v>
      </c>
      <c r="R59" s="166" t="s">
        <v>9</v>
      </c>
      <c r="S59" s="169">
        <v>44753</v>
      </c>
      <c r="T59" s="169">
        <v>44754</v>
      </c>
      <c r="U59" s="169">
        <v>44755</v>
      </c>
      <c r="V59" s="169">
        <v>44756</v>
      </c>
      <c r="W59" s="169">
        <v>44757</v>
      </c>
      <c r="X59" s="169">
        <v>44758</v>
      </c>
      <c r="Y59" s="169">
        <v>44759</v>
      </c>
      <c r="Z59" s="166" t="s">
        <v>9</v>
      </c>
      <c r="AA59" s="169">
        <v>44760</v>
      </c>
      <c r="AB59" s="169">
        <v>44761</v>
      </c>
      <c r="AC59" s="169">
        <v>44762</v>
      </c>
      <c r="AD59" s="169">
        <v>44763</v>
      </c>
      <c r="AE59" s="169">
        <v>44764</v>
      </c>
      <c r="AF59" s="169">
        <v>44765</v>
      </c>
      <c r="AG59" s="169">
        <v>44766</v>
      </c>
      <c r="AH59" s="166" t="s">
        <v>9</v>
      </c>
      <c r="AI59" s="169">
        <v>44767</v>
      </c>
      <c r="AJ59" s="169">
        <v>44768</v>
      </c>
      <c r="AK59" s="169">
        <v>44769</v>
      </c>
      <c r="AL59" s="169">
        <v>44770</v>
      </c>
      <c r="AM59" s="169">
        <v>44771</v>
      </c>
      <c r="AN59" s="169">
        <v>44772</v>
      </c>
      <c r="AO59" s="169">
        <v>44773</v>
      </c>
      <c r="AP59" s="169"/>
      <c r="AQ59" s="169"/>
      <c r="AR59" s="166" t="s">
        <v>9</v>
      </c>
      <c r="AS59" s="191" t="s">
        <v>10</v>
      </c>
    </row>
    <row r="60" spans="1:45">
      <c r="A60" s="170" t="s">
        <v>11</v>
      </c>
      <c r="B60" s="165"/>
      <c r="C60" s="172"/>
      <c r="D60" s="173"/>
      <c r="E60" s="173"/>
      <c r="F60" s="173"/>
      <c r="G60" s="173">
        <v>9129.9890080000005</v>
      </c>
      <c r="H60" s="173">
        <v>8317.1854910000002</v>
      </c>
      <c r="I60" s="173">
        <v>0</v>
      </c>
      <c r="J60" s="185">
        <f>SUM(C60:I60)</f>
        <v>17447.174499000001</v>
      </c>
      <c r="K60" s="173">
        <v>3570.1173370000001</v>
      </c>
      <c r="L60" s="173">
        <v>8697.1365189999997</v>
      </c>
      <c r="M60" s="326">
        <v>9819.1608059999999</v>
      </c>
      <c r="N60" s="326">
        <v>5501.4341539999996</v>
      </c>
      <c r="O60" s="326">
        <v>2878.9312989999999</v>
      </c>
      <c r="P60" s="173">
        <v>5147.085822</v>
      </c>
      <c r="Q60" s="173">
        <v>0</v>
      </c>
      <c r="R60" s="185">
        <f>SUM(K60:Q60)</f>
        <v>35613.865936999995</v>
      </c>
      <c r="S60" s="173">
        <v>13723.533289999999</v>
      </c>
      <c r="T60" s="173">
        <v>7616.3428430000004</v>
      </c>
      <c r="U60" s="173">
        <v>7982.9091550000003</v>
      </c>
      <c r="V60" s="173">
        <v>10731.36967</v>
      </c>
      <c r="W60" s="173">
        <v>7449.3370000000004</v>
      </c>
      <c r="X60" s="325">
        <v>3421.6476029999999</v>
      </c>
      <c r="Y60" s="173">
        <v>0</v>
      </c>
      <c r="Z60" s="185">
        <f>SUM(S60:Y60)</f>
        <v>50925.139560999996</v>
      </c>
      <c r="AA60" s="326">
        <v>5309.9270029999998</v>
      </c>
      <c r="AB60" s="173">
        <v>6591.6443710000003</v>
      </c>
      <c r="AC60" s="173">
        <v>3958.7073260000002</v>
      </c>
      <c r="AD60" s="173">
        <v>3248.4566690000001</v>
      </c>
      <c r="AE60" s="173">
        <v>2448.3640209999999</v>
      </c>
      <c r="AF60" s="326">
        <v>2709.0639999999999</v>
      </c>
      <c r="AG60" s="173"/>
      <c r="AH60" s="185">
        <f>SUM(AA60:AG60)</f>
        <v>24266.163389999998</v>
      </c>
      <c r="AI60" s="326">
        <v>1976.2</v>
      </c>
      <c r="AJ60" s="173">
        <v>7752.3463879999999</v>
      </c>
      <c r="AK60" s="173">
        <v>10263.035470000001</v>
      </c>
      <c r="AL60" s="173">
        <v>8690.2963600000003</v>
      </c>
      <c r="AM60" s="173">
        <v>14577.039629999999</v>
      </c>
      <c r="AN60" s="173">
        <v>10596.76345</v>
      </c>
      <c r="AO60" s="173">
        <v>0</v>
      </c>
      <c r="AP60" s="173"/>
      <c r="AQ60" s="173"/>
      <c r="AR60" s="185">
        <f>AI60+AJ60+AK60+AL60+AM60+AN60+AQ60+AO60</f>
        <v>53855.681297999996</v>
      </c>
      <c r="AS60" s="192">
        <f>J60+R60+Z60+AH60+AR60</f>
        <v>182108.02468500001</v>
      </c>
    </row>
    <row r="61" spans="1:45">
      <c r="A61" s="170" t="s">
        <v>12</v>
      </c>
      <c r="B61" s="165"/>
      <c r="C61" s="172"/>
      <c r="D61" s="173"/>
      <c r="E61" s="173"/>
      <c r="F61" s="173"/>
      <c r="G61" s="173"/>
      <c r="H61" s="173"/>
      <c r="I61" s="173"/>
      <c r="J61" s="185">
        <f>SUM(C61:I61)</f>
        <v>0</v>
      </c>
      <c r="K61" s="173"/>
      <c r="L61" s="173"/>
      <c r="M61" s="173"/>
      <c r="N61" s="173"/>
      <c r="O61" s="173"/>
      <c r="P61" s="173"/>
      <c r="Q61" s="173"/>
      <c r="R61" s="185">
        <f t="shared" ref="R61" si="40">SUM(K61:Q61)</f>
        <v>0</v>
      </c>
      <c r="S61" s="173"/>
      <c r="T61" s="173"/>
      <c r="U61" s="173"/>
      <c r="V61" s="173"/>
      <c r="W61" s="173"/>
      <c r="X61" s="173"/>
      <c r="Y61" s="173"/>
      <c r="Z61" s="185">
        <f t="shared" ref="Z61" si="41">SUM(S61:Y61)</f>
        <v>0</v>
      </c>
      <c r="AA61" s="173"/>
      <c r="AB61" s="173"/>
      <c r="AC61" s="173"/>
      <c r="AD61" s="173"/>
      <c r="AE61" s="173"/>
      <c r="AF61" s="173"/>
      <c r="AG61" s="173"/>
      <c r="AH61" s="185">
        <f t="shared" ref="AH61" si="42">SUM(AA61:AG61)</f>
        <v>0</v>
      </c>
      <c r="AI61" s="173"/>
      <c r="AJ61" s="173"/>
      <c r="AK61" s="173"/>
      <c r="AL61" s="173"/>
      <c r="AM61" s="173"/>
      <c r="AN61" s="173"/>
      <c r="AO61" s="173"/>
      <c r="AP61" s="173"/>
      <c r="AQ61" s="173"/>
      <c r="AR61" s="185">
        <f t="shared" ref="AR61" si="43">AI61+AJ61+AK61+AL61+AM61+AN61+AQ61+AO61</f>
        <v>0</v>
      </c>
      <c r="AS61" s="192">
        <f>J61+R61+Z61+AH61+AR61</f>
        <v>0</v>
      </c>
    </row>
    <row r="62" spans="1:45">
      <c r="A62" s="174" t="s">
        <v>13</v>
      </c>
      <c r="B62" s="173"/>
      <c r="C62" s="173"/>
      <c r="D62" s="173"/>
      <c r="E62" s="173"/>
      <c r="F62" s="173"/>
      <c r="G62" s="173"/>
      <c r="H62" s="173"/>
      <c r="I62" s="173"/>
      <c r="J62" s="185">
        <f>SUM(C62:I62)</f>
        <v>0</v>
      </c>
      <c r="K62" s="173">
        <f>'P2'!E54</f>
        <v>10749</v>
      </c>
      <c r="L62" s="173"/>
      <c r="M62" s="173">
        <v>0</v>
      </c>
      <c r="N62" s="173">
        <v>0</v>
      </c>
      <c r="O62" s="173">
        <v>0</v>
      </c>
      <c r="P62" s="173">
        <v>0</v>
      </c>
      <c r="Q62" s="173">
        <v>0</v>
      </c>
      <c r="R62" s="185">
        <f>SUM(K62:Q62)</f>
        <v>10749</v>
      </c>
      <c r="S62" s="173">
        <v>0</v>
      </c>
      <c r="T62" s="173">
        <v>0</v>
      </c>
      <c r="U62" s="173">
        <f>'P2'!N54</f>
        <v>2530</v>
      </c>
      <c r="V62" s="173">
        <v>0</v>
      </c>
      <c r="W62" s="173">
        <f>'P2'!P54</f>
        <v>10435</v>
      </c>
      <c r="X62" s="173">
        <v>0</v>
      </c>
      <c r="Y62" s="173">
        <v>0</v>
      </c>
      <c r="Z62" s="185">
        <f>SUM(S62:Y62)</f>
        <v>12965</v>
      </c>
      <c r="AA62" s="173">
        <v>0</v>
      </c>
      <c r="AB62" s="173">
        <f>'P2'!T54</f>
        <v>2751</v>
      </c>
      <c r="AC62" s="173">
        <v>0</v>
      </c>
      <c r="AD62" s="173">
        <v>0</v>
      </c>
      <c r="AE62" s="173">
        <v>10281</v>
      </c>
      <c r="AF62" s="173">
        <v>0</v>
      </c>
      <c r="AG62" s="173"/>
      <c r="AH62" s="185">
        <f>SUM(AA62:AG62)</f>
        <v>13032</v>
      </c>
      <c r="AI62" s="173"/>
      <c r="AJ62" s="173"/>
      <c r="AK62" s="173"/>
      <c r="AL62" s="173"/>
      <c r="AM62" s="173">
        <f>'P2'!AD54</f>
        <v>2100</v>
      </c>
      <c r="AN62" s="173"/>
      <c r="AO62" s="173"/>
      <c r="AP62" s="173"/>
      <c r="AQ62" s="173"/>
      <c r="AR62" s="185">
        <f>AI62+AJ62+AK62+AL62+AM62+AN62+AQ62+AO62</f>
        <v>2100</v>
      </c>
      <c r="AS62" s="192">
        <f>J62+R62+Z62+AH62+AR62</f>
        <v>38846</v>
      </c>
    </row>
    <row r="63" spans="1:45">
      <c r="A63" s="164" t="s">
        <v>15</v>
      </c>
      <c r="B63" s="177" t="e">
        <f t="shared" ref="B63" si="44">B62/B60</f>
        <v>#DIV/0!</v>
      </c>
      <c r="C63" s="177" t="e">
        <f t="shared" ref="C63:J63" si="45">C62/C60</f>
        <v>#DIV/0!</v>
      </c>
      <c r="D63" s="177" t="e">
        <f t="shared" si="45"/>
        <v>#DIV/0!</v>
      </c>
      <c r="E63" s="177" t="e">
        <f t="shared" si="45"/>
        <v>#DIV/0!</v>
      </c>
      <c r="F63" s="177" t="e">
        <f t="shared" si="45"/>
        <v>#DIV/0!</v>
      </c>
      <c r="G63" s="177">
        <f t="shared" si="45"/>
        <v>0</v>
      </c>
      <c r="H63" s="177">
        <f t="shared" si="45"/>
        <v>0</v>
      </c>
      <c r="I63" s="177" t="e">
        <f t="shared" si="45"/>
        <v>#DIV/0!</v>
      </c>
      <c r="J63" s="176">
        <f t="shared" si="45"/>
        <v>0</v>
      </c>
      <c r="K63" s="177">
        <f t="shared" ref="K63:S63" si="46">K62/K60</f>
        <v>3.010825411422605</v>
      </c>
      <c r="L63" s="177">
        <f t="shared" si="46"/>
        <v>0</v>
      </c>
      <c r="M63" s="177">
        <f t="shared" si="46"/>
        <v>0</v>
      </c>
      <c r="N63" s="177">
        <f t="shared" si="46"/>
        <v>0</v>
      </c>
      <c r="O63" s="177">
        <f t="shared" si="46"/>
        <v>0</v>
      </c>
      <c r="P63" s="177">
        <f t="shared" si="46"/>
        <v>0</v>
      </c>
      <c r="Q63" s="177" t="e">
        <f t="shared" si="46"/>
        <v>#DIV/0!</v>
      </c>
      <c r="R63" s="176">
        <f t="shared" si="46"/>
        <v>0.30182064533557523</v>
      </c>
      <c r="S63" s="177">
        <f t="shared" si="46"/>
        <v>0</v>
      </c>
      <c r="T63" s="177">
        <f t="shared" ref="T63:Z63" si="47">T62/T60</f>
        <v>0</v>
      </c>
      <c r="U63" s="177">
        <f t="shared" si="47"/>
        <v>0.3169270689264157</v>
      </c>
      <c r="V63" s="177">
        <f t="shared" si="47"/>
        <v>0</v>
      </c>
      <c r="W63" s="177">
        <f t="shared" si="47"/>
        <v>1.4007958023646936</v>
      </c>
      <c r="X63" s="177">
        <f t="shared" si="47"/>
        <v>0</v>
      </c>
      <c r="Y63" s="177" t="e">
        <f t="shared" si="47"/>
        <v>#DIV/0!</v>
      </c>
      <c r="Z63" s="176">
        <f t="shared" si="47"/>
        <v>0.25458938574866441</v>
      </c>
      <c r="AA63" s="177">
        <f t="shared" ref="AA63:AH63" si="48">AA62/AA60</f>
        <v>0</v>
      </c>
      <c r="AB63" s="177">
        <f t="shared" si="48"/>
        <v>0.41734654437715868</v>
      </c>
      <c r="AC63" s="177">
        <f t="shared" si="48"/>
        <v>0</v>
      </c>
      <c r="AD63" s="177">
        <f t="shared" si="48"/>
        <v>0</v>
      </c>
      <c r="AE63" s="177">
        <f t="shared" si="48"/>
        <v>4.1991304854254761</v>
      </c>
      <c r="AF63" s="177">
        <f t="shared" si="48"/>
        <v>0</v>
      </c>
      <c r="AG63" s="177" t="e">
        <f t="shared" si="48"/>
        <v>#DIV/0!</v>
      </c>
      <c r="AH63" s="176">
        <f t="shared" si="48"/>
        <v>0.53704410501787203</v>
      </c>
      <c r="AI63" s="177">
        <f t="shared" ref="AI63:AN63" si="49">AI62/AI60</f>
        <v>0</v>
      </c>
      <c r="AJ63" s="177">
        <f t="shared" si="49"/>
        <v>0</v>
      </c>
      <c r="AK63" s="177">
        <f t="shared" si="49"/>
        <v>0</v>
      </c>
      <c r="AL63" s="177">
        <f t="shared" si="49"/>
        <v>0</v>
      </c>
      <c r="AM63" s="177">
        <f t="shared" si="49"/>
        <v>0.14406217265665761</v>
      </c>
      <c r="AN63" s="177">
        <f t="shared" si="49"/>
        <v>0</v>
      </c>
      <c r="AO63" s="177" t="e">
        <f t="shared" ref="AO63" si="50">AO62/AO60</f>
        <v>#DIV/0!</v>
      </c>
      <c r="AP63" s="177"/>
      <c r="AQ63" s="177"/>
      <c r="AR63" s="176">
        <f>AR62/AR60</f>
        <v>3.8993100623498866E-2</v>
      </c>
      <c r="AS63" s="193">
        <f>AS62/AS60</f>
        <v>0.21331295019642094</v>
      </c>
    </row>
    <row r="64" spans="1:45">
      <c r="B64" s="151"/>
      <c r="C64" s="178"/>
      <c r="D64" s="178"/>
      <c r="E64" s="178"/>
      <c r="F64" s="178"/>
      <c r="G64" s="178"/>
      <c r="H64" s="186"/>
      <c r="I64" s="178"/>
      <c r="J64" s="151"/>
      <c r="K64" s="178"/>
      <c r="L64" s="178"/>
      <c r="M64" s="178"/>
      <c r="N64" s="178"/>
      <c r="O64" s="178"/>
      <c r="P64" s="178"/>
      <c r="Q64" s="188"/>
      <c r="R64" s="151"/>
      <c r="S64" s="189"/>
      <c r="T64" s="189"/>
      <c r="U64" s="189"/>
      <c r="V64" s="189"/>
      <c r="W64" s="189"/>
      <c r="X64" s="189"/>
      <c r="Y64" s="189"/>
      <c r="Z64" s="151"/>
      <c r="AA64" s="188"/>
      <c r="AB64" s="178"/>
      <c r="AC64" s="178"/>
      <c r="AD64" s="178"/>
      <c r="AE64" s="178"/>
      <c r="AF64" s="178"/>
      <c r="AG64" s="178"/>
      <c r="AH64" s="151"/>
      <c r="AI64" s="178"/>
      <c r="AJ64" s="188"/>
      <c r="AK64" s="189"/>
      <c r="AL64" s="189"/>
      <c r="AM64" s="189"/>
      <c r="AN64" s="189"/>
      <c r="AO64" s="189"/>
      <c r="AP64" s="189"/>
      <c r="AQ64" s="189"/>
      <c r="AR64" s="151"/>
      <c r="AS64" s="47"/>
    </row>
    <row r="65" spans="1:45">
      <c r="A65" s="47"/>
      <c r="B65" s="179"/>
      <c r="C65" s="180"/>
      <c r="D65" s="180"/>
      <c r="E65" s="180"/>
      <c r="F65" s="180"/>
      <c r="G65" s="180"/>
      <c r="H65" s="187"/>
      <c r="I65" s="180"/>
      <c r="J65" s="179"/>
      <c r="K65" s="180"/>
      <c r="L65" s="180"/>
      <c r="M65" s="180"/>
      <c r="N65" s="180"/>
      <c r="O65" s="180"/>
      <c r="P65" s="180"/>
      <c r="Q65" s="187"/>
      <c r="R65" s="179"/>
      <c r="S65" s="180"/>
      <c r="T65" s="180"/>
      <c r="U65" s="180"/>
      <c r="V65" s="180"/>
      <c r="W65" s="180"/>
      <c r="X65" s="180"/>
      <c r="Y65" s="180"/>
      <c r="Z65" s="179"/>
      <c r="AA65" s="187"/>
      <c r="AB65" s="180"/>
      <c r="AC65" s="180"/>
      <c r="AD65" s="180"/>
      <c r="AE65" s="180"/>
      <c r="AF65" s="180"/>
      <c r="AG65" s="180"/>
      <c r="AH65" s="179"/>
      <c r="AI65" s="180"/>
      <c r="AJ65" s="187"/>
      <c r="AK65" s="180"/>
      <c r="AL65" s="180"/>
      <c r="AM65" s="180"/>
      <c r="AN65" s="180"/>
      <c r="AO65" s="180"/>
      <c r="AP65" s="180"/>
      <c r="AQ65" s="180"/>
      <c r="AR65" s="194" t="s">
        <v>16</v>
      </c>
      <c r="AS65" s="121"/>
    </row>
    <row r="66" spans="1:45">
      <c r="A66" s="47"/>
      <c r="B66" s="181"/>
      <c r="C66" s="160"/>
      <c r="D66" s="182"/>
      <c r="E66" s="160"/>
      <c r="F66" s="160"/>
      <c r="G66" s="182"/>
      <c r="H66" s="182"/>
      <c r="I66" s="182"/>
      <c r="J66" s="181"/>
      <c r="K66" s="182"/>
      <c r="L66" s="182"/>
      <c r="M66" s="160"/>
      <c r="N66" s="160"/>
      <c r="O66" s="182"/>
      <c r="P66" s="182"/>
      <c r="Q66" s="160"/>
      <c r="R66" s="181"/>
      <c r="S66" s="160"/>
      <c r="T66" s="160"/>
      <c r="U66" s="160"/>
      <c r="V66" s="160"/>
      <c r="W66" s="160"/>
      <c r="X66" s="160"/>
      <c r="Y66" s="160"/>
      <c r="Z66" s="181"/>
      <c r="AA66" s="160"/>
      <c r="AB66" s="160"/>
      <c r="AC66" s="160"/>
      <c r="AD66" s="160"/>
      <c r="AE66" s="160"/>
      <c r="AF66" s="160"/>
      <c r="AG66" s="160"/>
      <c r="AH66" s="181"/>
      <c r="AI66" s="160"/>
      <c r="AJ66" s="160"/>
      <c r="AK66" s="160"/>
      <c r="AL66" s="160"/>
      <c r="AM66" s="190"/>
      <c r="AN66" s="160"/>
      <c r="AO66" s="160"/>
      <c r="AP66" s="160"/>
      <c r="AQ66" s="160"/>
      <c r="AR66" s="195" t="s">
        <v>17</v>
      </c>
      <c r="AS66" s="196"/>
    </row>
    <row r="67" spans="1:45">
      <c r="A67" s="304" t="s">
        <v>24</v>
      </c>
      <c r="B67" s="163" t="s">
        <v>2</v>
      </c>
      <c r="C67" s="163" t="s">
        <v>3</v>
      </c>
      <c r="D67" s="163" t="s">
        <v>4</v>
      </c>
      <c r="E67" s="163" t="s">
        <v>4</v>
      </c>
      <c r="F67" s="163" t="s">
        <v>5</v>
      </c>
      <c r="G67" s="163" t="s">
        <v>6</v>
      </c>
      <c r="H67" s="163" t="s">
        <v>7</v>
      </c>
      <c r="I67" s="163" t="s">
        <v>2</v>
      </c>
      <c r="J67" s="163"/>
      <c r="K67" s="163" t="s">
        <v>3</v>
      </c>
      <c r="L67" s="163" t="s">
        <v>4</v>
      </c>
      <c r="M67" s="163" t="s">
        <v>4</v>
      </c>
      <c r="N67" s="163" t="s">
        <v>5</v>
      </c>
      <c r="O67" s="163" t="s">
        <v>6</v>
      </c>
      <c r="P67" s="163" t="s">
        <v>7</v>
      </c>
      <c r="Q67" s="163" t="s">
        <v>2</v>
      </c>
      <c r="R67" s="163"/>
      <c r="S67" s="163" t="s">
        <v>3</v>
      </c>
      <c r="T67" s="163" t="s">
        <v>4</v>
      </c>
      <c r="U67" s="163" t="s">
        <v>4</v>
      </c>
      <c r="V67" s="163" t="s">
        <v>5</v>
      </c>
      <c r="W67" s="163" t="s">
        <v>6</v>
      </c>
      <c r="X67" s="163" t="s">
        <v>7</v>
      </c>
      <c r="Y67" s="163" t="s">
        <v>2</v>
      </c>
      <c r="Z67" s="163"/>
      <c r="AA67" s="163" t="s">
        <v>3</v>
      </c>
      <c r="AB67" s="163" t="s">
        <v>4</v>
      </c>
      <c r="AC67" s="163" t="s">
        <v>4</v>
      </c>
      <c r="AD67" s="163" t="s">
        <v>5</v>
      </c>
      <c r="AE67" s="163" t="s">
        <v>6</v>
      </c>
      <c r="AF67" s="163" t="s">
        <v>7</v>
      </c>
      <c r="AG67" s="163" t="s">
        <v>2</v>
      </c>
      <c r="AH67" s="163"/>
      <c r="AI67" s="163" t="s">
        <v>3</v>
      </c>
      <c r="AJ67" s="163" t="s">
        <v>4</v>
      </c>
      <c r="AK67" s="163" t="s">
        <v>4</v>
      </c>
      <c r="AL67" s="163" t="s">
        <v>5</v>
      </c>
      <c r="AM67" s="163" t="s">
        <v>6</v>
      </c>
      <c r="AN67" s="163" t="s">
        <v>7</v>
      </c>
      <c r="AO67" s="163"/>
      <c r="AP67" s="163"/>
      <c r="AQ67" s="163" t="s">
        <v>2</v>
      </c>
      <c r="AR67" s="151"/>
      <c r="AS67" s="47">
        <f>SUM(C67:AR67)</f>
        <v>0</v>
      </c>
    </row>
    <row r="68" spans="1:45">
      <c r="A68" s="164" t="s">
        <v>8</v>
      </c>
      <c r="B68" s="169"/>
      <c r="C68" s="169">
        <v>44774</v>
      </c>
      <c r="D68" s="169">
        <v>44775</v>
      </c>
      <c r="E68" s="169">
        <v>44776</v>
      </c>
      <c r="F68" s="169">
        <v>44777</v>
      </c>
      <c r="G68" s="169">
        <v>44778</v>
      </c>
      <c r="H68" s="169">
        <v>44779</v>
      </c>
      <c r="I68" s="169">
        <v>44780</v>
      </c>
      <c r="J68" s="166" t="s">
        <v>9</v>
      </c>
      <c r="K68" s="169">
        <v>44781</v>
      </c>
      <c r="L68" s="169">
        <v>44782</v>
      </c>
      <c r="M68" s="169">
        <v>44783</v>
      </c>
      <c r="N68" s="169">
        <v>44784</v>
      </c>
      <c r="O68" s="169">
        <v>44785</v>
      </c>
      <c r="P68" s="169">
        <v>44786</v>
      </c>
      <c r="Q68" s="169">
        <v>44787</v>
      </c>
      <c r="R68" s="166" t="s">
        <v>9</v>
      </c>
      <c r="S68" s="169">
        <v>44788</v>
      </c>
      <c r="T68" s="169">
        <v>44789</v>
      </c>
      <c r="U68" s="169">
        <v>44790</v>
      </c>
      <c r="V68" s="169">
        <v>44791</v>
      </c>
      <c r="W68" s="169">
        <v>44792</v>
      </c>
      <c r="X68" s="169">
        <v>44793</v>
      </c>
      <c r="Y68" s="169">
        <v>44794</v>
      </c>
      <c r="Z68" s="166" t="s">
        <v>9</v>
      </c>
      <c r="AA68" s="169">
        <v>44795</v>
      </c>
      <c r="AB68" s="169">
        <v>44796</v>
      </c>
      <c r="AC68" s="169">
        <v>44797</v>
      </c>
      <c r="AD68" s="169">
        <v>44798</v>
      </c>
      <c r="AE68" s="169">
        <v>44799</v>
      </c>
      <c r="AF68" s="169">
        <v>44800</v>
      </c>
      <c r="AG68" s="169">
        <v>44801</v>
      </c>
      <c r="AH68" s="166" t="s">
        <v>9</v>
      </c>
      <c r="AI68" s="169">
        <v>44802</v>
      </c>
      <c r="AJ68" s="169">
        <v>44803</v>
      </c>
      <c r="AK68" s="169">
        <v>44804</v>
      </c>
      <c r="AL68" s="169"/>
      <c r="AM68" s="169"/>
      <c r="AN68" s="169"/>
      <c r="AO68" s="169"/>
      <c r="AP68" s="169"/>
      <c r="AQ68" s="169"/>
      <c r="AR68" s="166" t="s">
        <v>9</v>
      </c>
      <c r="AS68" s="191" t="s">
        <v>10</v>
      </c>
    </row>
    <row r="69" spans="1:45">
      <c r="A69" s="324" t="s">
        <v>11</v>
      </c>
      <c r="B69" s="183"/>
      <c r="C69" s="173">
        <v>9324.9189530000003</v>
      </c>
      <c r="D69" s="173">
        <v>11070.73667</v>
      </c>
      <c r="E69" s="173">
        <v>17657.012119999999</v>
      </c>
      <c r="F69" s="173">
        <v>7695.265214</v>
      </c>
      <c r="G69" s="173">
        <v>10048.269560000001</v>
      </c>
      <c r="H69" s="173">
        <v>8828.0499999999993</v>
      </c>
      <c r="I69" s="173">
        <v>0</v>
      </c>
      <c r="J69" s="185">
        <f>SUM(C69:I69)</f>
        <v>64624.252517000001</v>
      </c>
      <c r="K69" s="173">
        <v>9263.4956330000005</v>
      </c>
      <c r="L69" s="173">
        <v>7691.2423829999998</v>
      </c>
      <c r="M69" s="173">
        <v>9559.9486799999995</v>
      </c>
      <c r="N69" s="173">
        <v>12958.26244</v>
      </c>
      <c r="O69" s="173">
        <v>9575.6548480000001</v>
      </c>
      <c r="P69" s="173">
        <v>11466.20327</v>
      </c>
      <c r="Q69" s="173">
        <v>0</v>
      </c>
      <c r="R69" s="185">
        <f>SUM(K69:Q69)</f>
        <v>60514.807253999992</v>
      </c>
      <c r="S69" s="173">
        <v>11493.429239999999</v>
      </c>
      <c r="T69" s="173">
        <v>14317.978289999999</v>
      </c>
      <c r="U69" s="173">
        <v>9381.3362190000007</v>
      </c>
      <c r="V69" s="173">
        <v>14474.88927</v>
      </c>
      <c r="W69" s="173">
        <v>21317.48805</v>
      </c>
      <c r="X69" s="173">
        <v>12225.0664</v>
      </c>
      <c r="Y69" s="173">
        <v>0</v>
      </c>
      <c r="Z69" s="185">
        <f>SUM(S69:Y69)</f>
        <v>83210.187468999997</v>
      </c>
      <c r="AA69" s="173">
        <v>9183.7822070000002</v>
      </c>
      <c r="AB69" s="173">
        <v>12982.831889999999</v>
      </c>
      <c r="AC69" s="173">
        <v>10576.25798</v>
      </c>
      <c r="AD69" s="173">
        <v>17515.729329999998</v>
      </c>
      <c r="AE69" s="173">
        <v>8378.5561419999995</v>
      </c>
      <c r="AF69" s="173">
        <v>5495.4099996000004</v>
      </c>
      <c r="AG69" s="173">
        <v>0</v>
      </c>
      <c r="AH69" s="185">
        <f>SUM(AA69:AG69)</f>
        <v>64132.567548599996</v>
      </c>
      <c r="AI69" s="173">
        <v>10191.928029999999</v>
      </c>
      <c r="AJ69" s="173">
        <v>10946.861059999999</v>
      </c>
      <c r="AK69" s="173">
        <v>13456.615390000001</v>
      </c>
      <c r="AL69" s="173"/>
      <c r="AM69" s="173"/>
      <c r="AN69" s="173"/>
      <c r="AO69" s="173"/>
      <c r="AP69" s="173"/>
      <c r="AQ69" s="173"/>
      <c r="AR69" s="185">
        <f>AI69+AJ69+AK69</f>
        <v>34595.404479999997</v>
      </c>
      <c r="AS69" s="192">
        <f>J69+R69+Z69+AH69+AR69</f>
        <v>307077.21926859999</v>
      </c>
    </row>
    <row r="70" spans="1:45">
      <c r="A70" s="324" t="s">
        <v>12</v>
      </c>
      <c r="B70" s="183"/>
      <c r="C70" s="173"/>
      <c r="D70" s="173"/>
      <c r="E70" s="173"/>
      <c r="F70" s="173"/>
      <c r="G70" s="173"/>
      <c r="H70" s="173"/>
      <c r="I70" s="173"/>
      <c r="J70" s="185">
        <f t="shared" ref="J70" si="51">SUM(C70:I70)</f>
        <v>0</v>
      </c>
      <c r="K70" s="173"/>
      <c r="L70" s="173"/>
      <c r="M70" s="173"/>
      <c r="N70" s="173"/>
      <c r="O70" s="173"/>
      <c r="P70" s="173"/>
      <c r="Q70" s="173"/>
      <c r="R70" s="185">
        <f>SUM(K70:Q70)</f>
        <v>0</v>
      </c>
      <c r="S70" s="173"/>
      <c r="T70" s="173"/>
      <c r="U70" s="173"/>
      <c r="V70" s="173"/>
      <c r="W70" s="173"/>
      <c r="X70" s="173"/>
      <c r="Y70" s="173"/>
      <c r="Z70" s="185">
        <f>SUM(S70:Y70)</f>
        <v>0</v>
      </c>
      <c r="AA70" s="173"/>
      <c r="AB70" s="173"/>
      <c r="AC70" s="173"/>
      <c r="AD70" s="173"/>
      <c r="AE70" s="173"/>
      <c r="AF70" s="173"/>
      <c r="AG70" s="173"/>
      <c r="AH70" s="185">
        <f>SUM(AA70:AG70)</f>
        <v>0</v>
      </c>
      <c r="AI70" s="173"/>
      <c r="AJ70" s="173"/>
      <c r="AK70" s="173"/>
      <c r="AL70" s="173"/>
      <c r="AM70" s="173"/>
      <c r="AN70" s="173"/>
      <c r="AO70" s="173"/>
      <c r="AP70" s="173"/>
      <c r="AQ70" s="173"/>
      <c r="AR70" s="185">
        <f t="shared" ref="AR70" si="52">AI70+AJ70+AK70</f>
        <v>0</v>
      </c>
      <c r="AS70" s="192">
        <f>J70+R70+Z70+AH70+AR70</f>
        <v>0</v>
      </c>
    </row>
    <row r="71" spans="1:45">
      <c r="A71" s="174" t="s">
        <v>13</v>
      </c>
      <c r="B71" s="173"/>
      <c r="C71" s="173">
        <f>'P2'!B62</f>
        <v>10737</v>
      </c>
      <c r="D71" s="173">
        <v>0</v>
      </c>
      <c r="E71" s="173">
        <v>0</v>
      </c>
      <c r="F71" s="173">
        <f>'P2'!E62</f>
        <v>5010</v>
      </c>
      <c r="G71" s="173">
        <f>'P2'!F62</f>
        <v>9222</v>
      </c>
      <c r="H71" s="173">
        <v>0</v>
      </c>
      <c r="I71" s="173">
        <v>0</v>
      </c>
      <c r="J71" s="185">
        <f>SUM(C71:I71)</f>
        <v>24969</v>
      </c>
      <c r="K71" s="173">
        <v>0</v>
      </c>
      <c r="L71" s="173">
        <f>'P2'!J62</f>
        <v>1490</v>
      </c>
      <c r="M71" s="173">
        <v>0</v>
      </c>
      <c r="N71" s="173">
        <v>0</v>
      </c>
      <c r="O71" s="173">
        <f>'P2'!M62</f>
        <v>8958</v>
      </c>
      <c r="P71" s="173">
        <v>0</v>
      </c>
      <c r="Q71" s="173">
        <v>0</v>
      </c>
      <c r="R71" s="185">
        <f>SUM(K71:Q71)</f>
        <v>10448</v>
      </c>
      <c r="S71" s="173">
        <v>0</v>
      </c>
      <c r="T71" s="173">
        <v>0</v>
      </c>
      <c r="U71" s="173">
        <v>0</v>
      </c>
      <c r="V71" s="173">
        <v>0</v>
      </c>
      <c r="W71" s="173">
        <f>'P2'!T62</f>
        <v>2673</v>
      </c>
      <c r="X71" s="173">
        <v>0</v>
      </c>
      <c r="Y71" s="173"/>
      <c r="Z71" s="185">
        <f>SUM(S71:Y71)</f>
        <v>2673</v>
      </c>
      <c r="AA71" s="173">
        <f>'P2'!W62</f>
        <v>9584</v>
      </c>
      <c r="AB71" s="173">
        <f>'P2'!X62</f>
        <v>320</v>
      </c>
      <c r="AC71" s="173"/>
      <c r="AD71" s="173">
        <f>'P2'!Z62</f>
        <v>3627</v>
      </c>
      <c r="AE71" s="173"/>
      <c r="AF71" s="173">
        <f>'P2'!AC62</f>
        <v>0</v>
      </c>
      <c r="AG71" s="173"/>
      <c r="AH71" s="185">
        <f>SUM(AA71:AG71)</f>
        <v>13531</v>
      </c>
      <c r="AI71" s="173">
        <f>'P2'!AD62</f>
        <v>9542</v>
      </c>
      <c r="AJ71" s="173"/>
      <c r="AK71" s="173">
        <f>'P2'!AG62</f>
        <v>0</v>
      </c>
      <c r="AL71" s="173">
        <f>'P2'!AH62</f>
        <v>0</v>
      </c>
      <c r="AM71" s="173">
        <f>'P2'!AI62</f>
        <v>0</v>
      </c>
      <c r="AN71" s="173">
        <f>'P2'!AJ62</f>
        <v>0</v>
      </c>
      <c r="AO71" s="173"/>
      <c r="AP71" s="173"/>
      <c r="AQ71" s="173">
        <f>'P2'!AK62</f>
        <v>0</v>
      </c>
      <c r="AR71" s="185">
        <f>AI71+AJ71+AK71</f>
        <v>9542</v>
      </c>
      <c r="AS71" s="192">
        <f>J71+R71+Z71+AH71+AR71</f>
        <v>61163</v>
      </c>
    </row>
    <row r="72" spans="1:45">
      <c r="A72" s="164" t="s">
        <v>15</v>
      </c>
      <c r="B72" s="177" t="e">
        <f t="shared" ref="B72" si="53">B71/B69</f>
        <v>#DIV/0!</v>
      </c>
      <c r="C72" s="177">
        <f t="shared" ref="C72:J72" si="54">C71/C69</f>
        <v>1.151430919037179</v>
      </c>
      <c r="D72" s="177">
        <f t="shared" si="54"/>
        <v>0</v>
      </c>
      <c r="E72" s="177">
        <f t="shared" si="54"/>
        <v>0</v>
      </c>
      <c r="F72" s="177">
        <f t="shared" si="54"/>
        <v>0.65104968583607803</v>
      </c>
      <c r="G72" s="177">
        <f t="shared" si="54"/>
        <v>0.91776996476197237</v>
      </c>
      <c r="H72" s="177">
        <f t="shared" si="54"/>
        <v>0</v>
      </c>
      <c r="I72" s="177" t="e">
        <f t="shared" si="54"/>
        <v>#DIV/0!</v>
      </c>
      <c r="J72" s="176">
        <f t="shared" si="54"/>
        <v>0.38637197379469379</v>
      </c>
      <c r="K72" s="177">
        <f t="shared" ref="K72:S72" si="55">K71/K69</f>
        <v>0</v>
      </c>
      <c r="L72" s="177">
        <f t="shared" si="55"/>
        <v>0.19372682926926815</v>
      </c>
      <c r="M72" s="177">
        <f t="shared" si="55"/>
        <v>0</v>
      </c>
      <c r="N72" s="177">
        <f t="shared" si="55"/>
        <v>0</v>
      </c>
      <c r="O72" s="177">
        <f t="shared" si="55"/>
        <v>0.93549737769328589</v>
      </c>
      <c r="P72" s="177">
        <f t="shared" si="55"/>
        <v>0</v>
      </c>
      <c r="Q72" s="177" t="e">
        <f t="shared" si="55"/>
        <v>#DIV/0!</v>
      </c>
      <c r="R72" s="176">
        <f t="shared" si="55"/>
        <v>0.17265195865445632</v>
      </c>
      <c r="S72" s="177">
        <f t="shared" si="55"/>
        <v>0</v>
      </c>
      <c r="T72" s="177">
        <f t="shared" ref="T72:Z72" si="56">T71/T69</f>
        <v>0</v>
      </c>
      <c r="U72" s="177">
        <f t="shared" si="56"/>
        <v>0</v>
      </c>
      <c r="V72" s="177">
        <f t="shared" si="56"/>
        <v>0</v>
      </c>
      <c r="W72" s="177">
        <f t="shared" si="56"/>
        <v>0.1253900081346592</v>
      </c>
      <c r="X72" s="177">
        <f t="shared" si="56"/>
        <v>0</v>
      </c>
      <c r="Y72" s="177" t="e">
        <f t="shared" si="56"/>
        <v>#DIV/0!</v>
      </c>
      <c r="Z72" s="176">
        <f t="shared" si="56"/>
        <v>3.2123470470437621E-2</v>
      </c>
      <c r="AA72" s="177">
        <f t="shared" ref="AA72:AH72" si="57">AA71/AA69</f>
        <v>1.0435787548070281</v>
      </c>
      <c r="AB72" s="177">
        <f t="shared" si="57"/>
        <v>2.4647935266455954E-2</v>
      </c>
      <c r="AC72" s="177">
        <f t="shared" si="57"/>
        <v>0</v>
      </c>
      <c r="AD72" s="177">
        <f t="shared" si="57"/>
        <v>0.20707102351643844</v>
      </c>
      <c r="AE72" s="177">
        <f t="shared" si="57"/>
        <v>0</v>
      </c>
      <c r="AF72" s="177">
        <f t="shared" si="57"/>
        <v>0</v>
      </c>
      <c r="AG72" s="177" t="e">
        <f t="shared" si="57"/>
        <v>#DIV/0!</v>
      </c>
      <c r="AH72" s="176">
        <f t="shared" si="57"/>
        <v>0.21098484774909623</v>
      </c>
      <c r="AI72" s="177">
        <f t="shared" ref="AI72:AS72" si="58">AI71/AI69</f>
        <v>0.93623110091761519</v>
      </c>
      <c r="AJ72" s="177">
        <f t="shared" si="58"/>
        <v>0</v>
      </c>
      <c r="AK72" s="177">
        <f t="shared" si="58"/>
        <v>0</v>
      </c>
      <c r="AL72" s="177" t="e">
        <f t="shared" si="58"/>
        <v>#DIV/0!</v>
      </c>
      <c r="AM72" s="177" t="e">
        <f t="shared" si="58"/>
        <v>#DIV/0!</v>
      </c>
      <c r="AN72" s="177" t="e">
        <f t="shared" si="58"/>
        <v>#DIV/0!</v>
      </c>
      <c r="AO72" s="177"/>
      <c r="AP72" s="177"/>
      <c r="AQ72" s="177">
        <v>0</v>
      </c>
      <c r="AR72" s="176">
        <f t="shared" si="58"/>
        <v>0.2758169804176257</v>
      </c>
      <c r="AS72" s="193">
        <f t="shared" si="58"/>
        <v>0.19917791409495869</v>
      </c>
    </row>
    <row r="73" spans="1:45">
      <c r="B73" s="151"/>
      <c r="C73" s="178"/>
      <c r="D73" s="178"/>
      <c r="E73" s="178"/>
      <c r="F73" s="178"/>
      <c r="G73" s="178"/>
      <c r="H73" s="186"/>
      <c r="I73" s="178"/>
      <c r="J73" s="151"/>
      <c r="K73" s="178"/>
      <c r="L73" s="178"/>
      <c r="M73" s="178"/>
      <c r="N73" s="178"/>
      <c r="O73" s="178"/>
      <c r="P73" s="178"/>
      <c r="Q73" s="188"/>
      <c r="R73" s="151"/>
      <c r="S73" s="189"/>
      <c r="T73" s="189"/>
      <c r="U73" s="189"/>
      <c r="V73" s="189"/>
      <c r="W73" s="189"/>
      <c r="X73" s="189"/>
      <c r="Y73" s="189"/>
      <c r="Z73" s="151"/>
      <c r="AA73" s="188"/>
      <c r="AB73" s="178"/>
      <c r="AC73" s="178"/>
      <c r="AD73" s="178"/>
      <c r="AE73" s="178"/>
      <c r="AF73" s="178"/>
      <c r="AG73" s="178"/>
      <c r="AH73" s="151"/>
      <c r="AI73" s="178"/>
      <c r="AJ73" s="188"/>
      <c r="AK73" s="189"/>
      <c r="AL73" s="189"/>
      <c r="AM73" s="189"/>
      <c r="AN73" s="189"/>
      <c r="AO73" s="189"/>
      <c r="AP73" s="189"/>
      <c r="AQ73" s="189"/>
      <c r="AR73" s="151"/>
      <c r="AS73" s="47"/>
    </row>
    <row r="74" spans="1:45">
      <c r="A74" s="47"/>
      <c r="B74" s="179"/>
      <c r="C74" s="180"/>
      <c r="D74" s="180"/>
      <c r="E74" s="180"/>
      <c r="F74" s="180"/>
      <c r="G74" s="180"/>
      <c r="H74" s="187"/>
      <c r="I74" s="180"/>
      <c r="J74" s="179"/>
      <c r="K74" s="180"/>
      <c r="L74" s="180"/>
      <c r="M74" s="180"/>
      <c r="N74" s="180"/>
      <c r="O74" s="180"/>
      <c r="P74" s="180"/>
      <c r="Q74" s="187"/>
      <c r="R74" s="179"/>
      <c r="S74" s="180"/>
      <c r="T74" s="180"/>
      <c r="U74" s="180"/>
      <c r="V74" s="180"/>
      <c r="W74" s="180"/>
      <c r="X74" s="180"/>
      <c r="Y74" s="180"/>
      <c r="Z74" s="179"/>
      <c r="AA74" s="187"/>
      <c r="AB74" s="180"/>
      <c r="AC74" s="180"/>
      <c r="AD74" s="180"/>
      <c r="AE74" s="180"/>
      <c r="AF74" s="180"/>
      <c r="AG74" s="180"/>
      <c r="AH74" s="179"/>
      <c r="AI74" s="180"/>
      <c r="AJ74" s="187"/>
      <c r="AK74" s="180"/>
      <c r="AL74" s="180"/>
      <c r="AM74" s="180"/>
      <c r="AN74" s="180"/>
      <c r="AO74" s="180"/>
      <c r="AP74" s="180"/>
      <c r="AQ74" s="180"/>
      <c r="AR74" s="194" t="s">
        <v>16</v>
      </c>
      <c r="AS74" s="121"/>
    </row>
    <row r="75" spans="1:45">
      <c r="A75" s="47"/>
      <c r="B75" s="181"/>
      <c r="C75" s="160"/>
      <c r="D75" s="182"/>
      <c r="E75" s="160"/>
      <c r="F75" s="160"/>
      <c r="G75" s="182"/>
      <c r="H75" s="182"/>
      <c r="I75" s="182"/>
      <c r="J75" s="181"/>
      <c r="K75" s="182"/>
      <c r="L75" s="182"/>
      <c r="M75" s="160"/>
      <c r="N75" s="160"/>
      <c r="O75" s="182"/>
      <c r="P75" s="182"/>
      <c r="Q75" s="160"/>
      <c r="R75" s="181"/>
      <c r="S75" s="160"/>
      <c r="T75" s="160"/>
      <c r="U75" s="160"/>
      <c r="V75" s="160"/>
      <c r="W75" s="160"/>
      <c r="X75" s="160"/>
      <c r="Y75" s="160"/>
      <c r="Z75" s="181"/>
      <c r="AA75" s="160"/>
      <c r="AB75" s="160"/>
      <c r="AC75" s="160"/>
      <c r="AD75" s="160"/>
      <c r="AE75" s="160"/>
      <c r="AF75" s="160"/>
      <c r="AG75" s="160"/>
      <c r="AH75" s="181"/>
      <c r="AI75" s="160"/>
      <c r="AJ75" s="160"/>
      <c r="AK75" s="160"/>
      <c r="AL75" s="160"/>
      <c r="AM75" s="190"/>
      <c r="AN75" s="160"/>
      <c r="AO75" s="160"/>
      <c r="AP75" s="160"/>
      <c r="AQ75" s="160"/>
      <c r="AR75" s="195" t="s">
        <v>17</v>
      </c>
      <c r="AS75" s="196"/>
    </row>
    <row r="76" spans="1:45">
      <c r="A76" s="304" t="s">
        <v>26</v>
      </c>
      <c r="B76" s="163" t="s">
        <v>2</v>
      </c>
      <c r="C76" s="163" t="s">
        <v>3</v>
      </c>
      <c r="D76" s="163" t="s">
        <v>4</v>
      </c>
      <c r="E76" s="163" t="s">
        <v>4</v>
      </c>
      <c r="F76" s="163" t="s">
        <v>5</v>
      </c>
      <c r="G76" s="163" t="s">
        <v>6</v>
      </c>
      <c r="H76" s="163" t="s">
        <v>7</v>
      </c>
      <c r="I76" s="163" t="s">
        <v>2</v>
      </c>
      <c r="J76" s="163"/>
      <c r="K76" s="163" t="s">
        <v>3</v>
      </c>
      <c r="L76" s="163" t="s">
        <v>4</v>
      </c>
      <c r="M76" s="163" t="s">
        <v>4</v>
      </c>
      <c r="N76" s="163" t="s">
        <v>5</v>
      </c>
      <c r="O76" s="163" t="s">
        <v>6</v>
      </c>
      <c r="P76" s="163" t="s">
        <v>7</v>
      </c>
      <c r="Q76" s="163" t="s">
        <v>2</v>
      </c>
      <c r="R76" s="163"/>
      <c r="S76" s="163" t="s">
        <v>3</v>
      </c>
      <c r="T76" s="163" t="s">
        <v>4</v>
      </c>
      <c r="U76" s="163" t="s">
        <v>4</v>
      </c>
      <c r="V76" s="163" t="s">
        <v>5</v>
      </c>
      <c r="W76" s="163" t="s">
        <v>6</v>
      </c>
      <c r="X76" s="163" t="s">
        <v>7</v>
      </c>
      <c r="Y76" s="163" t="s">
        <v>2</v>
      </c>
      <c r="Z76" s="163"/>
      <c r="AA76" s="163" t="s">
        <v>3</v>
      </c>
      <c r="AB76" s="163" t="s">
        <v>4</v>
      </c>
      <c r="AC76" s="163" t="s">
        <v>4</v>
      </c>
      <c r="AD76" s="163" t="s">
        <v>5</v>
      </c>
      <c r="AE76" s="163" t="s">
        <v>6</v>
      </c>
      <c r="AF76" s="163" t="s">
        <v>7</v>
      </c>
      <c r="AG76" s="163" t="s">
        <v>2</v>
      </c>
      <c r="AH76" s="163"/>
      <c r="AI76" s="163">
        <v>0</v>
      </c>
      <c r="AJ76" s="163" t="s">
        <v>4</v>
      </c>
      <c r="AK76" s="163" t="s">
        <v>4</v>
      </c>
      <c r="AL76" s="163" t="s">
        <v>5</v>
      </c>
      <c r="AM76" s="163" t="s">
        <v>6</v>
      </c>
      <c r="AN76" s="163" t="s">
        <v>7</v>
      </c>
      <c r="AO76" s="163"/>
      <c r="AP76" s="163"/>
      <c r="AQ76" s="163" t="s">
        <v>2</v>
      </c>
      <c r="AR76" s="151"/>
      <c r="AS76" s="161"/>
    </row>
    <row r="77" spans="1:45">
      <c r="A77" s="164" t="s">
        <v>8</v>
      </c>
      <c r="B77" s="183"/>
      <c r="C77" s="168"/>
      <c r="D77" s="168"/>
      <c r="E77" s="169"/>
      <c r="F77" s="169">
        <v>44805</v>
      </c>
      <c r="G77" s="169">
        <v>44806</v>
      </c>
      <c r="H77" s="169">
        <v>44807</v>
      </c>
      <c r="I77" s="169">
        <v>44808</v>
      </c>
      <c r="J77" s="166" t="s">
        <v>9</v>
      </c>
      <c r="K77" s="169">
        <v>44809</v>
      </c>
      <c r="L77" s="169">
        <v>44810</v>
      </c>
      <c r="M77" s="169">
        <v>44811</v>
      </c>
      <c r="N77" s="169">
        <v>44812</v>
      </c>
      <c r="O77" s="169">
        <v>44813</v>
      </c>
      <c r="P77" s="169">
        <v>44814</v>
      </c>
      <c r="Q77" s="169">
        <v>44815</v>
      </c>
      <c r="R77" s="166" t="s">
        <v>9</v>
      </c>
      <c r="S77" s="169">
        <v>44816</v>
      </c>
      <c r="T77" s="169">
        <v>44817</v>
      </c>
      <c r="U77" s="169">
        <v>44818</v>
      </c>
      <c r="V77" s="169">
        <v>44819</v>
      </c>
      <c r="W77" s="169">
        <v>44820</v>
      </c>
      <c r="X77" s="169">
        <v>44821</v>
      </c>
      <c r="Y77" s="169">
        <v>44822</v>
      </c>
      <c r="Z77" s="166" t="s">
        <v>9</v>
      </c>
      <c r="AA77" s="169">
        <v>44823</v>
      </c>
      <c r="AB77" s="169">
        <v>44824</v>
      </c>
      <c r="AC77" s="169">
        <v>44825</v>
      </c>
      <c r="AD77" s="169">
        <v>44826</v>
      </c>
      <c r="AE77" s="169">
        <v>44827</v>
      </c>
      <c r="AF77" s="169">
        <v>44828</v>
      </c>
      <c r="AG77" s="169">
        <v>44829</v>
      </c>
      <c r="AH77" s="166" t="s">
        <v>9</v>
      </c>
      <c r="AI77" s="169">
        <v>44830</v>
      </c>
      <c r="AJ77" s="169">
        <v>44831</v>
      </c>
      <c r="AK77" s="169">
        <v>44832</v>
      </c>
      <c r="AL77" s="169">
        <v>44833</v>
      </c>
      <c r="AM77" s="169">
        <v>44834</v>
      </c>
      <c r="AN77" s="169"/>
      <c r="AO77" s="169"/>
      <c r="AP77" s="169"/>
      <c r="AQ77" s="169"/>
      <c r="AR77" s="166" t="s">
        <v>9</v>
      </c>
      <c r="AS77" s="191" t="s">
        <v>10</v>
      </c>
    </row>
    <row r="78" spans="1:45">
      <c r="A78" s="170" t="s">
        <v>11</v>
      </c>
      <c r="B78" s="165"/>
      <c r="C78" s="172"/>
      <c r="D78" s="173"/>
      <c r="E78" s="173"/>
      <c r="F78" s="173">
        <v>6283.1129760000003</v>
      </c>
      <c r="G78" s="173">
        <v>6948.3818369999999</v>
      </c>
      <c r="H78" s="173">
        <v>4567.6320040000001</v>
      </c>
      <c r="I78" s="173">
        <v>0</v>
      </c>
      <c r="J78" s="185">
        <f>SUM(C78:I78)</f>
        <v>17799.126817</v>
      </c>
      <c r="K78" s="173">
        <v>8327.1382909999993</v>
      </c>
      <c r="L78" s="173">
        <v>13808.024729999999</v>
      </c>
      <c r="M78" s="173">
        <v>6606.444778</v>
      </c>
      <c r="N78" s="173">
        <v>22270.18088</v>
      </c>
      <c r="O78" s="173">
        <v>13581.3987</v>
      </c>
      <c r="P78" s="173">
        <v>8425.3667729999997</v>
      </c>
      <c r="Q78" s="173">
        <v>0</v>
      </c>
      <c r="R78" s="185">
        <f>SUM(K78:Q78)</f>
        <v>73018.554151999997</v>
      </c>
      <c r="S78" s="173">
        <v>7276.8891400000002</v>
      </c>
      <c r="T78" s="173">
        <v>18953.994330000001</v>
      </c>
      <c r="U78" s="173">
        <v>15192.604069999999</v>
      </c>
      <c r="V78" s="173">
        <v>19872.57101</v>
      </c>
      <c r="W78" s="173">
        <v>8947</v>
      </c>
      <c r="X78" s="173">
        <v>0</v>
      </c>
      <c r="Y78" s="173">
        <v>0</v>
      </c>
      <c r="Z78" s="185">
        <f>SUM(S78:Y78)</f>
        <v>70243.058550000002</v>
      </c>
      <c r="AA78" s="173"/>
      <c r="AB78" s="173"/>
      <c r="AC78" s="173"/>
      <c r="AD78" s="173"/>
      <c r="AE78" s="173">
        <v>0</v>
      </c>
      <c r="AF78" s="173">
        <v>0</v>
      </c>
      <c r="AG78" s="173">
        <v>0</v>
      </c>
      <c r="AH78" s="185">
        <f>SUM(AA78:AG78)</f>
        <v>0</v>
      </c>
      <c r="AI78" s="173"/>
      <c r="AJ78" s="173"/>
      <c r="AK78" s="173"/>
      <c r="AL78" s="173"/>
      <c r="AM78" s="173"/>
      <c r="AN78" s="173"/>
      <c r="AO78" s="173"/>
      <c r="AP78" s="173"/>
      <c r="AQ78" s="173"/>
      <c r="AR78" s="185">
        <f>AI78+AJ78+AK78+AL78+AM78+AN78</f>
        <v>0</v>
      </c>
      <c r="AS78" s="192">
        <f>J78+R78+Z78+AH78+AR78</f>
        <v>161060.739519</v>
      </c>
    </row>
    <row r="79" spans="1:45">
      <c r="A79" s="170" t="s">
        <v>12</v>
      </c>
      <c r="B79" s="165"/>
      <c r="C79" s="172"/>
      <c r="D79" s="173"/>
      <c r="E79" s="173"/>
      <c r="F79" s="173"/>
      <c r="G79" s="173"/>
      <c r="H79" s="173"/>
      <c r="I79" s="173"/>
      <c r="J79" s="185">
        <f>SUM(C79:I79)</f>
        <v>0</v>
      </c>
      <c r="K79" s="173"/>
      <c r="L79" s="173"/>
      <c r="M79" s="173"/>
      <c r="N79" s="173"/>
      <c r="O79" s="173"/>
      <c r="P79" s="173"/>
      <c r="Q79" s="173"/>
      <c r="R79" s="185">
        <f>SUM(K79:Q79)</f>
        <v>0</v>
      </c>
      <c r="S79" s="173"/>
      <c r="T79" s="173"/>
      <c r="U79" s="173"/>
      <c r="V79" s="173"/>
      <c r="W79" s="173"/>
      <c r="X79" s="173"/>
      <c r="Y79" s="173"/>
      <c r="Z79" s="185">
        <f>SUM(S79:Y79)</f>
        <v>0</v>
      </c>
      <c r="AA79" s="173"/>
      <c r="AB79" s="173"/>
      <c r="AC79" s="173"/>
      <c r="AD79" s="173"/>
      <c r="AE79" s="173"/>
      <c r="AF79" s="173"/>
      <c r="AG79" s="173"/>
      <c r="AH79" s="185">
        <f>SUM(AA79:AG79)</f>
        <v>0</v>
      </c>
      <c r="AI79" s="173"/>
      <c r="AJ79" s="173"/>
      <c r="AK79" s="173"/>
      <c r="AL79" s="173"/>
      <c r="AM79" s="173"/>
      <c r="AN79" s="173"/>
      <c r="AO79" s="173"/>
      <c r="AP79" s="173"/>
      <c r="AQ79" s="173"/>
      <c r="AR79" s="185">
        <f>AI79+AJ79+AK79+AL79+AM79+AN79</f>
        <v>0</v>
      </c>
      <c r="AS79" s="192">
        <f t="shared" ref="AS79" si="59">J79+R79+Z79+AH79+AR79</f>
        <v>0</v>
      </c>
    </row>
    <row r="80" spans="1:45">
      <c r="A80" s="174" t="s">
        <v>13</v>
      </c>
      <c r="B80" s="173"/>
      <c r="C80" s="173"/>
      <c r="D80" s="173"/>
      <c r="E80" s="173"/>
      <c r="F80" s="173">
        <v>0</v>
      </c>
      <c r="G80" s="173">
        <v>0</v>
      </c>
      <c r="H80" s="173">
        <v>5680</v>
      </c>
      <c r="I80" s="173">
        <v>0</v>
      </c>
      <c r="J80" s="185">
        <f>SUM(C80:I80)</f>
        <v>5680</v>
      </c>
      <c r="K80" s="173">
        <v>0</v>
      </c>
      <c r="L80" s="173">
        <f>'P2'!G70</f>
        <v>9840</v>
      </c>
      <c r="M80" s="173">
        <v>0</v>
      </c>
      <c r="N80" s="173">
        <v>0</v>
      </c>
      <c r="O80" s="173">
        <f>'P2'!J67</f>
        <v>2450</v>
      </c>
      <c r="P80" s="173">
        <v>0</v>
      </c>
      <c r="Q80" s="173">
        <v>0</v>
      </c>
      <c r="R80" s="185">
        <f>SUM(K80:Q80)</f>
        <v>12290</v>
      </c>
      <c r="S80" s="173"/>
      <c r="T80" s="173">
        <f>'P2'!N70</f>
        <v>12785</v>
      </c>
      <c r="U80" s="173"/>
      <c r="V80" s="173">
        <f>'P2'!P70</f>
        <v>9057</v>
      </c>
      <c r="W80" s="173">
        <f>'P2'!R70</f>
        <v>0</v>
      </c>
      <c r="X80" s="173">
        <f>'P2'!S70</f>
        <v>0</v>
      </c>
      <c r="Y80" s="173">
        <f>'P2'!T70</f>
        <v>0</v>
      </c>
      <c r="Z80" s="185">
        <f>SUM(S80:Y80)</f>
        <v>21842</v>
      </c>
      <c r="AA80" s="173"/>
      <c r="AB80" s="173"/>
      <c r="AC80" s="173"/>
      <c r="AD80" s="173"/>
      <c r="AE80" s="173">
        <f>'P2'!Y70</f>
        <v>0</v>
      </c>
      <c r="AF80" s="173">
        <f>'P2'!Z70</f>
        <v>0</v>
      </c>
      <c r="AG80" s="173">
        <f>'P2'!AA70</f>
        <v>0</v>
      </c>
      <c r="AH80" s="185">
        <f>SUM(AA80:AG80)</f>
        <v>0</v>
      </c>
      <c r="AI80" s="173"/>
      <c r="AJ80" s="173"/>
      <c r="AK80" s="173"/>
      <c r="AL80" s="173"/>
      <c r="AM80" s="173">
        <f>'P2'!AF70</f>
        <v>0</v>
      </c>
      <c r="AN80" s="173">
        <f>'P2'!AG70</f>
        <v>0</v>
      </c>
      <c r="AO80" s="173"/>
      <c r="AP80" s="173"/>
      <c r="AQ80" s="173">
        <f>'P2'!AH70</f>
        <v>0</v>
      </c>
      <c r="AR80" s="185">
        <f t="shared" ref="AR80" si="60">AI80+AJ80+AK80+AL80+AM80+AN80</f>
        <v>0</v>
      </c>
      <c r="AS80" s="192">
        <f>J80+R80+Z80+AH80+AR80</f>
        <v>39812</v>
      </c>
    </row>
    <row r="81" spans="1:46">
      <c r="A81" s="164" t="s">
        <v>15</v>
      </c>
      <c r="B81" s="177" t="e">
        <f t="shared" ref="B81" si="61">B80/B78</f>
        <v>#DIV/0!</v>
      </c>
      <c r="C81" s="177" t="e">
        <f t="shared" ref="C81:J81" si="62">C80/C78</f>
        <v>#DIV/0!</v>
      </c>
      <c r="D81" s="177" t="e">
        <f t="shared" si="62"/>
        <v>#DIV/0!</v>
      </c>
      <c r="E81" s="177" t="e">
        <f t="shared" si="62"/>
        <v>#DIV/0!</v>
      </c>
      <c r="F81" s="177">
        <f t="shared" si="62"/>
        <v>0</v>
      </c>
      <c r="G81" s="177">
        <f t="shared" si="62"/>
        <v>0</v>
      </c>
      <c r="H81" s="177">
        <f t="shared" si="62"/>
        <v>1.2435327528631617</v>
      </c>
      <c r="I81" s="177" t="e">
        <f t="shared" si="62"/>
        <v>#DIV/0!</v>
      </c>
      <c r="J81" s="176">
        <f t="shared" si="62"/>
        <v>0.31911677794075916</v>
      </c>
      <c r="K81" s="177">
        <f t="shared" ref="K81:S81" si="63">K80/K78</f>
        <v>0</v>
      </c>
      <c r="L81" s="177">
        <f t="shared" si="63"/>
        <v>0.71262908289996962</v>
      </c>
      <c r="M81" s="177">
        <f t="shared" si="63"/>
        <v>0</v>
      </c>
      <c r="N81" s="177">
        <f t="shared" si="63"/>
        <v>0</v>
      </c>
      <c r="O81" s="177">
        <f t="shared" si="63"/>
        <v>0.18039379110488818</v>
      </c>
      <c r="P81" s="177">
        <f t="shared" si="63"/>
        <v>0</v>
      </c>
      <c r="Q81" s="177" t="e">
        <f t="shared" si="63"/>
        <v>#DIV/0!</v>
      </c>
      <c r="R81" s="176">
        <f t="shared" si="63"/>
        <v>0.16831338476541682</v>
      </c>
      <c r="S81" s="177">
        <f t="shared" si="63"/>
        <v>0</v>
      </c>
      <c r="T81" s="177">
        <f t="shared" ref="T81:Z81" si="64">T80/T78</f>
        <v>0.67452800593931583</v>
      </c>
      <c r="U81" s="177">
        <f t="shared" si="64"/>
        <v>0</v>
      </c>
      <c r="V81" s="177">
        <f t="shared" si="64"/>
        <v>0.45575381240013996</v>
      </c>
      <c r="W81" s="177">
        <f t="shared" si="64"/>
        <v>0</v>
      </c>
      <c r="X81" s="177" t="e">
        <f t="shared" si="64"/>
        <v>#DIV/0!</v>
      </c>
      <c r="Y81" s="177" t="e">
        <f t="shared" si="64"/>
        <v>#DIV/0!</v>
      </c>
      <c r="Z81" s="176">
        <f t="shared" si="64"/>
        <v>0.31094887453473508</v>
      </c>
      <c r="AA81" s="177" t="e">
        <f t="shared" ref="AA81:AH81" si="65">AA80/AA78</f>
        <v>#DIV/0!</v>
      </c>
      <c r="AB81" s="177" t="e">
        <f t="shared" si="65"/>
        <v>#DIV/0!</v>
      </c>
      <c r="AC81" s="177" t="e">
        <f t="shared" si="65"/>
        <v>#DIV/0!</v>
      </c>
      <c r="AD81" s="177" t="e">
        <f t="shared" si="65"/>
        <v>#DIV/0!</v>
      </c>
      <c r="AE81" s="177" t="e">
        <f t="shared" si="65"/>
        <v>#DIV/0!</v>
      </c>
      <c r="AF81" s="177" t="e">
        <f t="shared" si="65"/>
        <v>#DIV/0!</v>
      </c>
      <c r="AG81" s="177" t="e">
        <f t="shared" si="65"/>
        <v>#DIV/0!</v>
      </c>
      <c r="AH81" s="176" t="e">
        <f t="shared" si="65"/>
        <v>#DIV/0!</v>
      </c>
      <c r="AI81" s="177" t="e">
        <f t="shared" ref="AI81:AS81" si="66">AI80/AI78</f>
        <v>#DIV/0!</v>
      </c>
      <c r="AJ81" s="177" t="e">
        <f t="shared" si="66"/>
        <v>#DIV/0!</v>
      </c>
      <c r="AK81" s="177" t="e">
        <f t="shared" si="66"/>
        <v>#DIV/0!</v>
      </c>
      <c r="AL81" s="177" t="e">
        <f t="shared" si="66"/>
        <v>#DIV/0!</v>
      </c>
      <c r="AM81" s="177" t="e">
        <f t="shared" si="66"/>
        <v>#DIV/0!</v>
      </c>
      <c r="AN81" s="177" t="e">
        <f t="shared" si="66"/>
        <v>#DIV/0!</v>
      </c>
      <c r="AO81" s="177"/>
      <c r="AP81" s="177"/>
      <c r="AQ81" s="177" t="e">
        <f t="shared" si="66"/>
        <v>#DIV/0!</v>
      </c>
      <c r="AR81" s="176" t="e">
        <f t="shared" si="66"/>
        <v>#DIV/0!</v>
      </c>
      <c r="AS81" s="193">
        <f t="shared" si="66"/>
        <v>0.24718624860966482</v>
      </c>
    </row>
    <row r="82" spans="1:46">
      <c r="B82" s="151"/>
      <c r="C82" s="178"/>
      <c r="D82" s="178"/>
      <c r="E82" s="178"/>
      <c r="F82" s="178"/>
      <c r="G82" s="178"/>
      <c r="H82" s="186"/>
      <c r="I82" s="178"/>
      <c r="J82" s="151"/>
      <c r="K82" s="178"/>
      <c r="L82" s="178"/>
      <c r="M82" s="178"/>
      <c r="N82" s="178"/>
      <c r="O82" s="178"/>
      <c r="P82" s="178"/>
      <c r="Q82" s="188"/>
      <c r="R82" s="151"/>
      <c r="S82" s="189"/>
      <c r="T82" s="189"/>
      <c r="U82" s="189"/>
      <c r="V82" s="189"/>
      <c r="W82" s="189"/>
      <c r="X82" s="189"/>
      <c r="Y82" s="189"/>
      <c r="Z82" s="151"/>
      <c r="AA82" s="188"/>
      <c r="AB82" s="178"/>
      <c r="AC82" s="178"/>
      <c r="AD82" s="178"/>
      <c r="AE82" s="178"/>
      <c r="AF82" s="178"/>
      <c r="AG82" s="178"/>
      <c r="AH82" s="151"/>
      <c r="AI82" s="178"/>
      <c r="AJ82" s="188"/>
      <c r="AK82" s="189"/>
      <c r="AL82" s="189"/>
      <c r="AM82" s="189"/>
      <c r="AN82" s="189"/>
      <c r="AO82" s="189"/>
      <c r="AP82" s="189"/>
      <c r="AQ82" s="189"/>
      <c r="AR82" s="151"/>
      <c r="AS82" s="47"/>
    </row>
    <row r="83" spans="1:46">
      <c r="B83" s="179"/>
      <c r="C83" s="180"/>
      <c r="D83" s="180"/>
      <c r="E83" s="180"/>
      <c r="F83" s="180"/>
      <c r="G83" s="180"/>
      <c r="H83" s="187"/>
      <c r="I83" s="180"/>
      <c r="J83" s="179"/>
      <c r="K83" s="180"/>
      <c r="L83" s="180"/>
      <c r="M83" s="180"/>
      <c r="N83" s="180"/>
      <c r="O83" s="180"/>
      <c r="P83" s="180"/>
      <c r="Q83" s="187"/>
      <c r="R83" s="179"/>
      <c r="S83" s="180"/>
      <c r="T83" s="180"/>
      <c r="U83" s="180"/>
      <c r="V83" s="180"/>
      <c r="W83" s="180"/>
      <c r="X83" s="180"/>
      <c r="Y83" s="180"/>
      <c r="Z83" s="179"/>
      <c r="AA83" s="187"/>
      <c r="AB83" s="180"/>
      <c r="AC83" s="180"/>
      <c r="AD83" s="180"/>
      <c r="AE83" s="180"/>
      <c r="AF83" s="180"/>
      <c r="AG83" s="180"/>
      <c r="AH83" s="179"/>
      <c r="AI83" s="180"/>
      <c r="AJ83" s="187"/>
      <c r="AK83" s="180"/>
      <c r="AL83" s="180"/>
      <c r="AM83" s="180"/>
      <c r="AN83" s="180"/>
      <c r="AO83" s="180"/>
      <c r="AP83" s="180"/>
      <c r="AQ83" s="180"/>
      <c r="AR83" s="194" t="s">
        <v>16</v>
      </c>
      <c r="AS83" s="121"/>
    </row>
    <row r="84" spans="1:46">
      <c r="B84" s="181"/>
      <c r="C84" s="160"/>
      <c r="D84" s="182"/>
      <c r="E84" s="160"/>
      <c r="F84" s="160"/>
      <c r="G84" s="182"/>
      <c r="H84" s="182"/>
      <c r="I84" s="182"/>
      <c r="J84" s="181"/>
      <c r="K84" s="182"/>
      <c r="L84" s="182"/>
      <c r="M84" s="160"/>
      <c r="N84" s="160"/>
      <c r="O84" s="182"/>
      <c r="P84" s="182"/>
      <c r="Q84" s="160"/>
      <c r="R84" s="181"/>
      <c r="S84" s="160"/>
      <c r="T84" s="160"/>
      <c r="U84" s="160"/>
      <c r="V84" s="160"/>
      <c r="W84" s="160"/>
      <c r="X84" s="160"/>
      <c r="Y84" s="160"/>
      <c r="Z84" s="181"/>
      <c r="AA84" s="160"/>
      <c r="AB84" s="160"/>
      <c r="AC84" s="160"/>
      <c r="AD84" s="160"/>
      <c r="AE84" s="160"/>
      <c r="AF84" s="160"/>
      <c r="AG84" s="160"/>
      <c r="AH84" s="181"/>
      <c r="AI84" s="160"/>
      <c r="AJ84" s="160"/>
      <c r="AK84" s="160"/>
      <c r="AL84" s="160"/>
      <c r="AM84" s="190"/>
      <c r="AN84" s="160"/>
      <c r="AO84" s="160"/>
      <c r="AP84" s="160"/>
      <c r="AQ84" s="160"/>
      <c r="AR84" s="195" t="s">
        <v>17</v>
      </c>
      <c r="AS84" s="196"/>
    </row>
    <row r="85" spans="1:46" ht="15.75" thickBot="1">
      <c r="A85" s="151" t="s">
        <v>27</v>
      </c>
      <c r="B85" s="163" t="s">
        <v>2</v>
      </c>
      <c r="C85" s="163" t="s">
        <v>3</v>
      </c>
      <c r="D85" s="163" t="s">
        <v>4</v>
      </c>
      <c r="E85" s="163" t="s">
        <v>4</v>
      </c>
      <c r="F85" s="163" t="s">
        <v>5</v>
      </c>
      <c r="G85" s="163" t="s">
        <v>6</v>
      </c>
      <c r="H85" s="163" t="s">
        <v>7</v>
      </c>
      <c r="I85" s="163" t="s">
        <v>2</v>
      </c>
      <c r="J85" s="163"/>
      <c r="K85" s="163" t="s">
        <v>3</v>
      </c>
      <c r="L85" s="163" t="s">
        <v>4</v>
      </c>
      <c r="M85" s="163" t="s">
        <v>4</v>
      </c>
      <c r="N85" s="163" t="s">
        <v>5</v>
      </c>
      <c r="O85" s="163" t="s">
        <v>6</v>
      </c>
      <c r="P85" s="163" t="s">
        <v>7</v>
      </c>
      <c r="Q85" s="163" t="s">
        <v>2</v>
      </c>
      <c r="R85" s="163"/>
      <c r="S85" s="163" t="s">
        <v>3</v>
      </c>
      <c r="T85" s="163" t="s">
        <v>4</v>
      </c>
      <c r="U85" s="163" t="s">
        <v>4</v>
      </c>
      <c r="V85" s="163" t="s">
        <v>5</v>
      </c>
      <c r="W85" s="163" t="s">
        <v>6</v>
      </c>
      <c r="X85" s="163" t="s">
        <v>7</v>
      </c>
      <c r="Y85" s="163" t="s">
        <v>2</v>
      </c>
      <c r="Z85" s="163"/>
      <c r="AA85" s="163" t="s">
        <v>3</v>
      </c>
      <c r="AB85" s="163" t="s">
        <v>4</v>
      </c>
      <c r="AC85" s="163" t="s">
        <v>4</v>
      </c>
      <c r="AD85" s="163" t="s">
        <v>5</v>
      </c>
      <c r="AE85" s="163" t="s">
        <v>6</v>
      </c>
      <c r="AF85" s="163" t="s">
        <v>7</v>
      </c>
      <c r="AG85" s="163" t="s">
        <v>2</v>
      </c>
      <c r="AH85" s="163"/>
      <c r="AI85" s="163" t="s">
        <v>3</v>
      </c>
      <c r="AJ85" s="163" t="s">
        <v>4</v>
      </c>
      <c r="AK85" s="163" t="s">
        <v>4</v>
      </c>
      <c r="AL85" s="163" t="s">
        <v>5</v>
      </c>
      <c r="AM85" s="163" t="s">
        <v>6</v>
      </c>
      <c r="AN85" s="163" t="s">
        <v>7</v>
      </c>
      <c r="AO85" s="163"/>
      <c r="AP85" s="163"/>
      <c r="AQ85" s="163" t="s">
        <v>2</v>
      </c>
      <c r="AR85" s="298" t="s">
        <v>3</v>
      </c>
      <c r="AS85" s="47"/>
    </row>
    <row r="86" spans="1:46" ht="15.75" thickBot="1">
      <c r="A86" s="164" t="s">
        <v>8</v>
      </c>
      <c r="B86" s="183"/>
      <c r="C86" s="168"/>
      <c r="D86" s="168"/>
      <c r="E86" s="168"/>
      <c r="F86" s="168"/>
      <c r="G86" s="169"/>
      <c r="H86" s="169">
        <v>44835</v>
      </c>
      <c r="I86" s="169">
        <v>44836</v>
      </c>
      <c r="J86" s="166" t="s">
        <v>9</v>
      </c>
      <c r="K86" s="169">
        <v>44837</v>
      </c>
      <c r="L86" s="169">
        <v>44838</v>
      </c>
      <c r="M86" s="169">
        <v>44839</v>
      </c>
      <c r="N86" s="169">
        <v>44840</v>
      </c>
      <c r="O86" s="169">
        <v>44841</v>
      </c>
      <c r="P86" s="169">
        <v>44842</v>
      </c>
      <c r="Q86" s="169">
        <v>44843</v>
      </c>
      <c r="R86" s="166" t="s">
        <v>9</v>
      </c>
      <c r="S86" s="169">
        <v>44844</v>
      </c>
      <c r="T86" s="169">
        <v>44845</v>
      </c>
      <c r="U86" s="169">
        <v>44846</v>
      </c>
      <c r="V86" s="169">
        <v>44847</v>
      </c>
      <c r="W86" s="169">
        <v>44848</v>
      </c>
      <c r="X86" s="169">
        <v>44849</v>
      </c>
      <c r="Y86" s="169">
        <v>44850</v>
      </c>
      <c r="Z86" s="166" t="s">
        <v>9</v>
      </c>
      <c r="AA86" s="169">
        <v>44851</v>
      </c>
      <c r="AB86" s="169">
        <v>44852</v>
      </c>
      <c r="AC86" s="169">
        <v>44853</v>
      </c>
      <c r="AD86" s="169">
        <v>44854</v>
      </c>
      <c r="AE86" s="169">
        <v>44855</v>
      </c>
      <c r="AF86" s="169">
        <v>44856</v>
      </c>
      <c r="AG86" s="169">
        <v>44857</v>
      </c>
      <c r="AH86" s="166" t="s">
        <v>9</v>
      </c>
      <c r="AI86" s="169">
        <v>44858</v>
      </c>
      <c r="AJ86" s="169">
        <v>44859</v>
      </c>
      <c r="AK86" s="169">
        <v>44860</v>
      </c>
      <c r="AL86" s="169">
        <v>44861</v>
      </c>
      <c r="AM86" s="169">
        <v>44862</v>
      </c>
      <c r="AN86" s="169">
        <v>44863</v>
      </c>
      <c r="AO86" s="169"/>
      <c r="AP86" s="169"/>
      <c r="AQ86" s="169">
        <v>44864</v>
      </c>
      <c r="AR86" s="169">
        <v>44865</v>
      </c>
      <c r="AS86" s="166" t="s">
        <v>9</v>
      </c>
      <c r="AT86" s="191" t="s">
        <v>10</v>
      </c>
    </row>
    <row r="87" spans="1:46">
      <c r="A87" s="170" t="s">
        <v>11</v>
      </c>
      <c r="B87" s="165"/>
      <c r="C87" s="172"/>
      <c r="D87" s="173"/>
      <c r="E87" s="173"/>
      <c r="F87" s="173"/>
      <c r="G87" s="173"/>
      <c r="H87" s="173"/>
      <c r="I87" s="173"/>
      <c r="J87" s="185">
        <f>SUM(C87:I87)</f>
        <v>0</v>
      </c>
      <c r="K87" s="173"/>
      <c r="L87" s="173"/>
      <c r="M87" s="173"/>
      <c r="N87" s="173"/>
      <c r="O87" s="173"/>
      <c r="P87" s="173"/>
      <c r="Q87" s="173"/>
      <c r="R87" s="185">
        <f>SUM(K87:Q87)</f>
        <v>0</v>
      </c>
      <c r="S87" s="173"/>
      <c r="T87" s="173"/>
      <c r="U87" s="173"/>
      <c r="V87" s="173"/>
      <c r="W87" s="173">
        <v>0</v>
      </c>
      <c r="X87" s="173"/>
      <c r="Y87" s="173"/>
      <c r="Z87" s="185">
        <f>SUM(S87:Y87)</f>
        <v>0</v>
      </c>
      <c r="AA87" s="173"/>
      <c r="AB87" s="173"/>
      <c r="AC87" s="173"/>
      <c r="AD87" s="173"/>
      <c r="AE87" s="173"/>
      <c r="AF87" s="173">
        <v>0</v>
      </c>
      <c r="AG87" s="173">
        <v>0</v>
      </c>
      <c r="AH87" s="185">
        <f>SUM(AA87:AG87)</f>
        <v>0</v>
      </c>
      <c r="AI87" s="173"/>
      <c r="AJ87" s="173"/>
      <c r="AK87" s="173"/>
      <c r="AL87" s="173"/>
      <c r="AM87" s="173">
        <v>0</v>
      </c>
      <c r="AN87" s="173">
        <v>0</v>
      </c>
      <c r="AO87" s="173"/>
      <c r="AP87" s="173"/>
      <c r="AQ87" s="173">
        <v>0</v>
      </c>
      <c r="AR87" s="173">
        <v>0</v>
      </c>
      <c r="AS87" s="185">
        <f>AI87+AJ87+AK87+AL87+AM87+AN87+AQ87</f>
        <v>0</v>
      </c>
      <c r="AT87" s="192" t="e">
        <f>SUM(Z87,R87,J87,#REF!,AH87,AS87)</f>
        <v>#REF!</v>
      </c>
    </row>
    <row r="88" spans="1:46">
      <c r="A88" s="170" t="s">
        <v>12</v>
      </c>
      <c r="B88" s="165"/>
      <c r="C88" s="172"/>
      <c r="D88" s="173"/>
      <c r="E88" s="173"/>
      <c r="F88" s="173"/>
      <c r="G88" s="173"/>
      <c r="H88" s="173"/>
      <c r="I88" s="173"/>
      <c r="J88" s="185">
        <f>SUM(C88:I88)</f>
        <v>0</v>
      </c>
      <c r="K88" s="173"/>
      <c r="L88" s="173"/>
      <c r="M88" s="173"/>
      <c r="N88" s="173"/>
      <c r="O88" s="173"/>
      <c r="P88" s="173"/>
      <c r="Q88" s="173"/>
      <c r="R88" s="185">
        <f>SUM(K88:Q88)</f>
        <v>0</v>
      </c>
      <c r="S88" s="173"/>
      <c r="T88" s="173"/>
      <c r="U88" s="173"/>
      <c r="V88" s="173"/>
      <c r="W88" s="173"/>
      <c r="X88" s="173"/>
      <c r="Y88" s="173"/>
      <c r="Z88" s="185">
        <f>SUM(S88:Y88)</f>
        <v>0</v>
      </c>
      <c r="AA88" s="173"/>
      <c r="AB88" s="173"/>
      <c r="AC88" s="173"/>
      <c r="AD88" s="173"/>
      <c r="AE88" s="173"/>
      <c r="AF88" s="173"/>
      <c r="AG88" s="173"/>
      <c r="AH88" s="185">
        <f>SUM(AA88:AG88)</f>
        <v>0</v>
      </c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171">
        <f>SUM(AQ88)</f>
        <v>0</v>
      </c>
      <c r="AT88" s="192" t="e">
        <f>SUM(Z88,R88,J88,#REF!,AH88,AS88)</f>
        <v>#REF!</v>
      </c>
    </row>
    <row r="89" spans="1:46" ht="15.75" thickBot="1">
      <c r="A89" s="174" t="s">
        <v>13</v>
      </c>
      <c r="B89" s="173"/>
      <c r="C89" s="173"/>
      <c r="D89" s="173"/>
      <c r="E89" s="173"/>
      <c r="F89" s="173"/>
      <c r="G89" s="173"/>
      <c r="H89" s="173"/>
      <c r="I89" s="173"/>
      <c r="J89" s="185">
        <f>SUM(C89:I89)</f>
        <v>0</v>
      </c>
      <c r="K89" s="173"/>
      <c r="L89" s="173"/>
      <c r="M89" s="173"/>
      <c r="N89" s="173"/>
      <c r="O89" s="173"/>
      <c r="P89" s="173"/>
      <c r="Q89" s="173"/>
      <c r="R89" s="185">
        <f>SUM(K89:Q89)</f>
        <v>0</v>
      </c>
      <c r="S89" s="173"/>
      <c r="T89" s="173"/>
      <c r="U89" s="173"/>
      <c r="V89" s="173"/>
      <c r="W89" s="173">
        <f>'P2'!P77</f>
        <v>0</v>
      </c>
      <c r="X89" s="173">
        <f>'P2'!Q77</f>
        <v>0</v>
      </c>
      <c r="Y89" s="173">
        <f>'P2'!R77</f>
        <v>0</v>
      </c>
      <c r="Z89" s="185">
        <f>SUM(S89:Y89)</f>
        <v>0</v>
      </c>
      <c r="AA89" s="173"/>
      <c r="AB89" s="173"/>
      <c r="AC89" s="173"/>
      <c r="AD89" s="173"/>
      <c r="AE89" s="173"/>
      <c r="AF89" s="173">
        <f>'P2'!X77</f>
        <v>0</v>
      </c>
      <c r="AG89" s="173">
        <f>'P2'!Y77</f>
        <v>0</v>
      </c>
      <c r="AH89" s="185">
        <f>SUM(AA89:AG89)</f>
        <v>0</v>
      </c>
      <c r="AI89" s="173"/>
      <c r="AJ89" s="173"/>
      <c r="AK89" s="173"/>
      <c r="AL89" s="173"/>
      <c r="AM89" s="173">
        <f>'P2'!AD77</f>
        <v>0</v>
      </c>
      <c r="AN89" s="173">
        <f>'P2'!AE77</f>
        <v>0</v>
      </c>
      <c r="AO89" s="173"/>
      <c r="AP89" s="173"/>
      <c r="AQ89" s="173">
        <f>'P2'!AF77</f>
        <v>0</v>
      </c>
      <c r="AR89" s="173">
        <f>'P2'!AG77</f>
        <v>0</v>
      </c>
      <c r="AS89" s="185">
        <f>AI89+AJ89+AK89+AL89+AM89+AN89+AQ89</f>
        <v>0</v>
      </c>
      <c r="AT89" s="192" t="e">
        <f>SUM(Z89,R89,J89,#REF!,AH89,AS89)</f>
        <v>#REF!</v>
      </c>
    </row>
    <row r="90" spans="1:46" ht="15.75" thickBot="1">
      <c r="A90" s="164" t="s">
        <v>15</v>
      </c>
      <c r="B90" s="177" t="e">
        <f t="shared" ref="B90" si="67">B89/B87</f>
        <v>#DIV/0!</v>
      </c>
      <c r="C90" s="177" t="e">
        <f t="shared" ref="C90:J90" si="68">C89/C87</f>
        <v>#DIV/0!</v>
      </c>
      <c r="D90" s="177" t="e">
        <f t="shared" si="68"/>
        <v>#DIV/0!</v>
      </c>
      <c r="E90" s="177" t="e">
        <f t="shared" si="68"/>
        <v>#DIV/0!</v>
      </c>
      <c r="F90" s="177" t="e">
        <f t="shared" si="68"/>
        <v>#DIV/0!</v>
      </c>
      <c r="G90" s="177" t="e">
        <f t="shared" si="68"/>
        <v>#DIV/0!</v>
      </c>
      <c r="H90" s="177" t="e">
        <f t="shared" si="68"/>
        <v>#DIV/0!</v>
      </c>
      <c r="I90" s="177" t="e">
        <f t="shared" si="68"/>
        <v>#DIV/0!</v>
      </c>
      <c r="J90" s="176" t="e">
        <f t="shared" si="68"/>
        <v>#DIV/0!</v>
      </c>
      <c r="K90" s="177" t="e">
        <f t="shared" ref="K90:S90" si="69">K89/K87</f>
        <v>#DIV/0!</v>
      </c>
      <c r="L90" s="177" t="e">
        <f t="shared" si="69"/>
        <v>#DIV/0!</v>
      </c>
      <c r="M90" s="177" t="e">
        <f t="shared" si="69"/>
        <v>#DIV/0!</v>
      </c>
      <c r="N90" s="177" t="e">
        <f t="shared" si="69"/>
        <v>#DIV/0!</v>
      </c>
      <c r="O90" s="177" t="e">
        <f t="shared" si="69"/>
        <v>#DIV/0!</v>
      </c>
      <c r="P90" s="177" t="e">
        <f t="shared" si="69"/>
        <v>#DIV/0!</v>
      </c>
      <c r="Q90" s="177" t="e">
        <f t="shared" si="69"/>
        <v>#DIV/0!</v>
      </c>
      <c r="R90" s="176" t="e">
        <f t="shared" si="69"/>
        <v>#DIV/0!</v>
      </c>
      <c r="S90" s="177" t="e">
        <f t="shared" si="69"/>
        <v>#DIV/0!</v>
      </c>
      <c r="T90" s="177" t="e">
        <f t="shared" ref="T90:Z90" si="70">T89/T87</f>
        <v>#DIV/0!</v>
      </c>
      <c r="U90" s="177" t="e">
        <f t="shared" si="70"/>
        <v>#DIV/0!</v>
      </c>
      <c r="V90" s="177" t="e">
        <f t="shared" si="70"/>
        <v>#DIV/0!</v>
      </c>
      <c r="W90" s="177" t="e">
        <f t="shared" si="70"/>
        <v>#DIV/0!</v>
      </c>
      <c r="X90" s="177" t="e">
        <f t="shared" si="70"/>
        <v>#DIV/0!</v>
      </c>
      <c r="Y90" s="177" t="e">
        <f t="shared" si="70"/>
        <v>#DIV/0!</v>
      </c>
      <c r="Z90" s="176" t="e">
        <f t="shared" si="70"/>
        <v>#DIV/0!</v>
      </c>
      <c r="AA90" s="177" t="e">
        <f t="shared" ref="AA90:AH90" si="71">AA89/AA87</f>
        <v>#DIV/0!</v>
      </c>
      <c r="AB90" s="177" t="e">
        <f t="shared" si="71"/>
        <v>#DIV/0!</v>
      </c>
      <c r="AC90" s="177" t="e">
        <f t="shared" si="71"/>
        <v>#DIV/0!</v>
      </c>
      <c r="AD90" s="177" t="e">
        <f t="shared" si="71"/>
        <v>#DIV/0!</v>
      </c>
      <c r="AE90" s="177" t="e">
        <f t="shared" si="71"/>
        <v>#DIV/0!</v>
      </c>
      <c r="AF90" s="177" t="e">
        <f t="shared" si="71"/>
        <v>#DIV/0!</v>
      </c>
      <c r="AG90" s="177" t="e">
        <f t="shared" si="71"/>
        <v>#DIV/0!</v>
      </c>
      <c r="AH90" s="176" t="e">
        <f t="shared" si="71"/>
        <v>#DIV/0!</v>
      </c>
      <c r="AI90" s="177" t="e">
        <f t="shared" ref="AI90:AQ90" si="72">AI89/AI87</f>
        <v>#DIV/0!</v>
      </c>
      <c r="AJ90" s="177" t="e">
        <f t="shared" si="72"/>
        <v>#DIV/0!</v>
      </c>
      <c r="AK90" s="177" t="e">
        <f t="shared" si="72"/>
        <v>#DIV/0!</v>
      </c>
      <c r="AL90" s="177" t="e">
        <f t="shared" si="72"/>
        <v>#DIV/0!</v>
      </c>
      <c r="AM90" s="177" t="e">
        <f t="shared" si="72"/>
        <v>#DIV/0!</v>
      </c>
      <c r="AN90" s="177" t="e">
        <f t="shared" si="72"/>
        <v>#DIV/0!</v>
      </c>
      <c r="AO90" s="177"/>
      <c r="AP90" s="177"/>
      <c r="AQ90" s="177" t="e">
        <f t="shared" si="72"/>
        <v>#DIV/0!</v>
      </c>
      <c r="AR90" s="177" t="e">
        <f t="shared" ref="AR90" si="73">AR89/AR87</f>
        <v>#DIV/0!</v>
      </c>
      <c r="AS90" s="176" t="e">
        <f>AS89/AS87</f>
        <v>#DIV/0!</v>
      </c>
      <c r="AT90" s="193" t="e">
        <f>AT89/AT87</f>
        <v>#REF!</v>
      </c>
    </row>
    <row r="91" spans="1:46">
      <c r="B91" s="151"/>
      <c r="C91" s="178"/>
      <c r="D91" s="178"/>
      <c r="E91" s="178"/>
      <c r="F91" s="178"/>
      <c r="G91" s="178"/>
      <c r="H91" s="186"/>
      <c r="I91" s="178"/>
      <c r="J91" s="151"/>
      <c r="K91" s="178"/>
      <c r="L91" s="178"/>
      <c r="M91" s="178"/>
      <c r="N91" s="178"/>
      <c r="O91" s="178"/>
      <c r="P91" s="178"/>
      <c r="Q91" s="188"/>
      <c r="R91" s="151"/>
      <c r="S91" s="189"/>
      <c r="T91" s="189"/>
      <c r="U91" s="189"/>
      <c r="V91" s="189"/>
      <c r="W91" s="189"/>
      <c r="X91" s="189"/>
      <c r="Y91" s="189"/>
      <c r="Z91" s="151"/>
      <c r="AA91" s="188"/>
      <c r="AB91" s="178"/>
      <c r="AC91" s="178"/>
      <c r="AD91" s="178"/>
      <c r="AE91" s="178"/>
      <c r="AF91" s="178"/>
      <c r="AG91" s="178"/>
      <c r="AH91" s="151"/>
      <c r="AI91" s="178"/>
      <c r="AJ91" s="188"/>
      <c r="AK91" s="189"/>
      <c r="AL91" s="189"/>
      <c r="AM91" s="189"/>
      <c r="AN91" s="189"/>
      <c r="AO91" s="189"/>
      <c r="AP91" s="189"/>
      <c r="AQ91" s="189"/>
      <c r="AS91" s="151"/>
      <c r="AT91" s="47"/>
    </row>
    <row r="92" spans="1:46">
      <c r="B92" s="179"/>
      <c r="C92" s="180"/>
      <c r="D92" s="180"/>
      <c r="E92" s="180"/>
      <c r="F92" s="180"/>
      <c r="G92" s="180"/>
      <c r="H92" s="187"/>
      <c r="I92" s="180"/>
      <c r="J92" s="179"/>
      <c r="K92" s="180"/>
      <c r="L92" s="180"/>
      <c r="M92" s="180"/>
      <c r="N92" s="180"/>
      <c r="O92" s="180"/>
      <c r="P92" s="180"/>
      <c r="Q92" s="187"/>
      <c r="R92" s="179"/>
      <c r="S92" s="180"/>
      <c r="T92" s="180"/>
      <c r="U92" s="180"/>
      <c r="V92" s="180"/>
      <c r="W92" s="180"/>
      <c r="X92" s="180"/>
      <c r="Y92" s="180"/>
      <c r="Z92" s="179"/>
      <c r="AA92" s="187"/>
      <c r="AB92" s="180"/>
      <c r="AC92" s="180"/>
      <c r="AD92" s="180"/>
      <c r="AE92" s="180"/>
      <c r="AF92" s="180"/>
      <c r="AG92" s="180"/>
      <c r="AH92" s="179"/>
      <c r="AI92" s="180"/>
      <c r="AJ92" s="187"/>
      <c r="AK92" s="180"/>
      <c r="AL92" s="180"/>
      <c r="AM92" s="180"/>
      <c r="AN92" s="180"/>
      <c r="AO92" s="180"/>
      <c r="AP92" s="180"/>
      <c r="AQ92" s="180"/>
      <c r="AS92" s="194" t="s">
        <v>16</v>
      </c>
      <c r="AT92" s="121"/>
    </row>
    <row r="93" spans="1:46">
      <c r="B93" s="181"/>
      <c r="C93" s="160"/>
      <c r="D93" s="182"/>
      <c r="E93" s="160"/>
      <c r="F93" s="160"/>
      <c r="G93" s="182"/>
      <c r="H93" s="182"/>
      <c r="I93" s="182"/>
      <c r="J93" s="181"/>
      <c r="K93" s="182"/>
      <c r="L93" s="182"/>
      <c r="M93" s="160"/>
      <c r="N93" s="160"/>
      <c r="O93" s="182"/>
      <c r="P93" s="182"/>
      <c r="Q93" s="160"/>
      <c r="R93" s="181"/>
      <c r="S93" s="160"/>
      <c r="T93" s="160"/>
      <c r="U93" s="160"/>
      <c r="V93" s="160"/>
      <c r="W93" s="160"/>
      <c r="X93" s="160"/>
      <c r="Y93" s="160"/>
      <c r="Z93" s="181"/>
      <c r="AA93" s="160"/>
      <c r="AB93" s="160"/>
      <c r="AC93" s="160"/>
      <c r="AD93" s="160"/>
      <c r="AE93" s="160"/>
      <c r="AF93" s="160"/>
      <c r="AG93" s="160"/>
      <c r="AH93" s="181"/>
      <c r="AI93" s="160"/>
      <c r="AJ93" s="160"/>
      <c r="AK93" s="160"/>
      <c r="AL93" s="160"/>
      <c r="AM93" s="190"/>
      <c r="AN93" s="160"/>
      <c r="AO93" s="160"/>
      <c r="AP93" s="160"/>
      <c r="AQ93" s="160"/>
      <c r="AS93" s="195" t="s">
        <v>17</v>
      </c>
      <c r="AT93" s="196"/>
    </row>
    <row r="94" spans="1:46" ht="15.75" thickBot="1">
      <c r="A94" s="151" t="s">
        <v>28</v>
      </c>
      <c r="B94" s="163" t="s">
        <v>2</v>
      </c>
      <c r="C94" s="163" t="s">
        <v>3</v>
      </c>
      <c r="D94" s="163" t="s">
        <v>4</v>
      </c>
      <c r="E94" s="163" t="s">
        <v>4</v>
      </c>
      <c r="F94" s="163" t="s">
        <v>5</v>
      </c>
      <c r="G94" s="163" t="s">
        <v>6</v>
      </c>
      <c r="H94" s="163" t="s">
        <v>7</v>
      </c>
      <c r="I94" s="163" t="s">
        <v>2</v>
      </c>
      <c r="J94" s="163"/>
      <c r="K94" s="163" t="s">
        <v>3</v>
      </c>
      <c r="L94" s="163" t="s">
        <v>4</v>
      </c>
      <c r="M94" s="163" t="s">
        <v>4</v>
      </c>
      <c r="N94" s="163" t="s">
        <v>5</v>
      </c>
      <c r="O94" s="163" t="s">
        <v>6</v>
      </c>
      <c r="P94" s="163" t="s">
        <v>7</v>
      </c>
      <c r="Q94" s="163" t="s">
        <v>2</v>
      </c>
      <c r="R94" s="163"/>
      <c r="S94" s="163" t="s">
        <v>3</v>
      </c>
      <c r="T94" s="163" t="s">
        <v>4</v>
      </c>
      <c r="U94" s="163" t="s">
        <v>4</v>
      </c>
      <c r="V94" s="163" t="s">
        <v>5</v>
      </c>
      <c r="W94" s="163" t="s">
        <v>6</v>
      </c>
      <c r="X94" s="163" t="s">
        <v>7</v>
      </c>
      <c r="Y94" s="163" t="s">
        <v>2</v>
      </c>
      <c r="Z94" s="163"/>
      <c r="AA94" s="163" t="s">
        <v>3</v>
      </c>
      <c r="AB94" s="163" t="s">
        <v>4</v>
      </c>
      <c r="AC94" s="163" t="s">
        <v>4</v>
      </c>
      <c r="AD94" s="163" t="s">
        <v>5</v>
      </c>
      <c r="AE94" s="163" t="s">
        <v>6</v>
      </c>
      <c r="AF94" s="163" t="s">
        <v>7</v>
      </c>
      <c r="AG94" s="163" t="s">
        <v>2</v>
      </c>
      <c r="AH94" s="163"/>
      <c r="AI94" s="163" t="s">
        <v>3</v>
      </c>
      <c r="AJ94" s="163" t="s">
        <v>4</v>
      </c>
      <c r="AK94" s="163" t="s">
        <v>4</v>
      </c>
      <c r="AL94" s="163" t="s">
        <v>5</v>
      </c>
      <c r="AM94" s="163" t="s">
        <v>6</v>
      </c>
      <c r="AN94" s="163" t="s">
        <v>7</v>
      </c>
      <c r="AO94" s="163"/>
      <c r="AP94" s="163"/>
      <c r="AQ94" s="163" t="s">
        <v>2</v>
      </c>
      <c r="AR94" s="151"/>
      <c r="AS94" s="161"/>
    </row>
    <row r="95" spans="1:46">
      <c r="A95" s="164" t="s">
        <v>8</v>
      </c>
      <c r="B95" s="183"/>
      <c r="C95" s="169"/>
      <c r="D95" s="169">
        <v>44866</v>
      </c>
      <c r="E95" s="169">
        <v>44867</v>
      </c>
      <c r="F95" s="169">
        <v>44868</v>
      </c>
      <c r="G95" s="169">
        <v>44869</v>
      </c>
      <c r="H95" s="169">
        <v>44870</v>
      </c>
      <c r="I95" s="169">
        <v>44871</v>
      </c>
      <c r="J95" s="166" t="s">
        <v>9</v>
      </c>
      <c r="K95" s="169">
        <v>44872</v>
      </c>
      <c r="L95" s="169">
        <v>44873</v>
      </c>
      <c r="M95" s="169">
        <v>44874</v>
      </c>
      <c r="N95" s="169">
        <v>44875</v>
      </c>
      <c r="O95" s="169">
        <v>44876</v>
      </c>
      <c r="P95" s="169">
        <v>44877</v>
      </c>
      <c r="Q95" s="169">
        <v>44878</v>
      </c>
      <c r="R95" s="166" t="s">
        <v>9</v>
      </c>
      <c r="S95" s="169">
        <v>44879</v>
      </c>
      <c r="T95" s="169">
        <v>44880</v>
      </c>
      <c r="U95" s="169">
        <v>44881</v>
      </c>
      <c r="V95" s="169">
        <v>44882</v>
      </c>
      <c r="W95" s="169">
        <v>44883</v>
      </c>
      <c r="X95" s="169">
        <v>44884</v>
      </c>
      <c r="Y95" s="169">
        <v>44885</v>
      </c>
      <c r="Z95" s="166" t="s">
        <v>9</v>
      </c>
      <c r="AA95" s="169">
        <v>44886</v>
      </c>
      <c r="AB95" s="169">
        <v>44887</v>
      </c>
      <c r="AC95" s="169">
        <v>44888</v>
      </c>
      <c r="AD95" s="169">
        <v>44889</v>
      </c>
      <c r="AE95" s="169">
        <v>44890</v>
      </c>
      <c r="AF95" s="169">
        <v>44891</v>
      </c>
      <c r="AG95" s="169">
        <v>44892</v>
      </c>
      <c r="AH95" s="166" t="s">
        <v>9</v>
      </c>
      <c r="AI95" s="169">
        <v>44893</v>
      </c>
      <c r="AJ95" s="169">
        <v>44894</v>
      </c>
      <c r="AK95" s="169">
        <v>44895</v>
      </c>
      <c r="AL95" s="169"/>
      <c r="AM95" s="169"/>
      <c r="AN95" s="169"/>
      <c r="AO95" s="169"/>
      <c r="AP95" s="169"/>
      <c r="AQ95" s="169"/>
      <c r="AR95" s="166" t="s">
        <v>9</v>
      </c>
      <c r="AS95" s="191" t="s">
        <v>10</v>
      </c>
    </row>
    <row r="96" spans="1:46">
      <c r="A96" s="170" t="s">
        <v>11</v>
      </c>
      <c r="B96" s="165"/>
      <c r="C96" s="172"/>
      <c r="D96" s="173"/>
      <c r="E96" s="173"/>
      <c r="F96" s="173"/>
      <c r="G96" s="173"/>
      <c r="H96" s="173"/>
      <c r="I96" s="173"/>
      <c r="J96" s="185">
        <f>SUM(C96:I96)</f>
        <v>0</v>
      </c>
      <c r="K96" s="173"/>
      <c r="L96" s="173"/>
      <c r="M96" s="173"/>
      <c r="N96" s="173"/>
      <c r="O96" s="173"/>
      <c r="P96" s="173"/>
      <c r="Q96" s="173"/>
      <c r="R96" s="185">
        <f>SUM(K96:Q96)</f>
        <v>0</v>
      </c>
      <c r="S96" s="173"/>
      <c r="T96" s="173"/>
      <c r="U96" s="173"/>
      <c r="V96" s="173"/>
      <c r="W96" s="173"/>
      <c r="X96" s="173"/>
      <c r="Y96" s="173"/>
      <c r="Z96" s="185">
        <f>SUM(S96:Y96)</f>
        <v>0</v>
      </c>
      <c r="AA96" s="173"/>
      <c r="AB96" s="173"/>
      <c r="AC96" s="173"/>
      <c r="AD96" s="173"/>
      <c r="AE96" s="173"/>
      <c r="AF96" s="173">
        <v>0</v>
      </c>
      <c r="AG96" s="173">
        <v>0</v>
      </c>
      <c r="AH96" s="185">
        <f>SUM(AA96:AG96)</f>
        <v>0</v>
      </c>
      <c r="AI96" s="173"/>
      <c r="AJ96" s="173"/>
      <c r="AK96" s="173"/>
      <c r="AL96" s="173"/>
      <c r="AM96" s="173"/>
      <c r="AN96" s="173"/>
      <c r="AO96" s="173"/>
      <c r="AP96" s="173"/>
      <c r="AQ96" s="173"/>
      <c r="AR96" s="171">
        <f>SUM(AQ96)</f>
        <v>0</v>
      </c>
      <c r="AS96" s="192" t="e">
        <f>SUM(Z96,R96,J96,#REF!,AH96,AR96)</f>
        <v>#REF!</v>
      </c>
    </row>
    <row r="97" spans="1:45">
      <c r="A97" s="170" t="s">
        <v>12</v>
      </c>
      <c r="B97" s="165"/>
      <c r="C97" s="172"/>
      <c r="D97" s="173"/>
      <c r="E97" s="173"/>
      <c r="F97" s="173"/>
      <c r="G97" s="173"/>
      <c r="H97" s="173"/>
      <c r="I97" s="173"/>
      <c r="J97" s="185">
        <f>SUM(C97:I97)</f>
        <v>0</v>
      </c>
      <c r="K97" s="173"/>
      <c r="L97" s="173"/>
      <c r="M97" s="173"/>
      <c r="N97" s="173"/>
      <c r="O97" s="173"/>
      <c r="P97" s="173"/>
      <c r="Q97" s="173"/>
      <c r="R97" s="185">
        <f>SUM(K97:Q97)</f>
        <v>0</v>
      </c>
      <c r="S97" s="173"/>
      <c r="T97" s="173"/>
      <c r="U97" s="173"/>
      <c r="V97" s="173"/>
      <c r="W97" s="173"/>
      <c r="X97" s="173"/>
      <c r="Y97" s="173"/>
      <c r="Z97" s="185">
        <f>SUM(S97:Y97)</f>
        <v>0</v>
      </c>
      <c r="AA97" s="173"/>
      <c r="AB97" s="173"/>
      <c r="AC97" s="173"/>
      <c r="AD97" s="173"/>
      <c r="AE97" s="173"/>
      <c r="AF97" s="173"/>
      <c r="AG97" s="173"/>
      <c r="AH97" s="185">
        <f>SUM(AA97:AG97)</f>
        <v>0</v>
      </c>
      <c r="AI97" s="173"/>
      <c r="AJ97" s="173"/>
      <c r="AK97" s="173"/>
      <c r="AL97" s="173"/>
      <c r="AM97" s="173"/>
      <c r="AN97" s="173"/>
      <c r="AO97" s="173"/>
      <c r="AP97" s="173"/>
      <c r="AQ97" s="173"/>
      <c r="AR97" s="171">
        <f t="shared" ref="AR97:AR98" si="74">SUM(AQ97)</f>
        <v>0</v>
      </c>
      <c r="AS97" s="192" t="e">
        <f>SUM(Z97,R97,J97,#REF!,AH97,AR97)</f>
        <v>#REF!</v>
      </c>
    </row>
    <row r="98" spans="1:45">
      <c r="A98" s="174" t="s">
        <v>13</v>
      </c>
      <c r="B98" s="173"/>
      <c r="C98" s="173"/>
      <c r="D98" s="173"/>
      <c r="E98" s="173"/>
      <c r="F98" s="173"/>
      <c r="G98" s="173"/>
      <c r="H98" s="173"/>
      <c r="I98" s="173"/>
      <c r="J98" s="185">
        <f>SUM(C98:I98)</f>
        <v>0</v>
      </c>
      <c r="K98" s="173"/>
      <c r="L98" s="173"/>
      <c r="M98" s="173"/>
      <c r="N98" s="173"/>
      <c r="O98" s="173"/>
      <c r="P98" s="173"/>
      <c r="Q98" s="173"/>
      <c r="R98" s="185">
        <f>SUM(K98:Q98)</f>
        <v>0</v>
      </c>
      <c r="S98" s="173"/>
      <c r="T98" s="173"/>
      <c r="U98" s="173"/>
      <c r="V98" s="173"/>
      <c r="W98" s="173">
        <f>'P2'!T86</f>
        <v>0</v>
      </c>
      <c r="X98" s="173">
        <f>'P2'!U86</f>
        <v>0</v>
      </c>
      <c r="Y98" s="173">
        <f>'P2'!V86</f>
        <v>0</v>
      </c>
      <c r="Z98" s="185">
        <f>SUM(S98:Y98)</f>
        <v>0</v>
      </c>
      <c r="AA98" s="173"/>
      <c r="AB98" s="173"/>
      <c r="AC98" s="173"/>
      <c r="AD98" s="173"/>
      <c r="AE98" s="173"/>
      <c r="AF98" s="173">
        <f>'P2'!AB86</f>
        <v>0</v>
      </c>
      <c r="AG98" s="173">
        <f>'P2'!AC86</f>
        <v>0</v>
      </c>
      <c r="AH98" s="185">
        <f>SUM(AA98:AG98)</f>
        <v>0</v>
      </c>
      <c r="AI98" s="173">
        <f>'P2'!AD86</f>
        <v>0</v>
      </c>
      <c r="AJ98" s="173">
        <f>'P2'!AE86</f>
        <v>0</v>
      </c>
      <c r="AK98" s="173">
        <f>'P2'!AF86</f>
        <v>0</v>
      </c>
      <c r="AL98" s="173">
        <f>'P2'!AG86</f>
        <v>0</v>
      </c>
      <c r="AM98" s="173">
        <f>'P2'!AH86</f>
        <v>0</v>
      </c>
      <c r="AN98" s="173">
        <f>'P2'!AI86</f>
        <v>0</v>
      </c>
      <c r="AO98" s="173"/>
      <c r="AP98" s="173"/>
      <c r="AQ98" s="173">
        <f>'P2'!AJ86</f>
        <v>0</v>
      </c>
      <c r="AR98" s="171">
        <f t="shared" si="74"/>
        <v>0</v>
      </c>
      <c r="AS98" s="192" t="e">
        <f>SUM(Z98,R98,J98,#REF!,AH98,AR98)</f>
        <v>#REF!</v>
      </c>
    </row>
    <row r="99" spans="1:45">
      <c r="A99" s="164" t="s">
        <v>15</v>
      </c>
      <c r="B99" s="177" t="e">
        <f t="shared" ref="B99" si="75">B98/B96</f>
        <v>#DIV/0!</v>
      </c>
      <c r="C99" s="177" t="e">
        <f t="shared" ref="C99:J99" si="76">C98/C96</f>
        <v>#DIV/0!</v>
      </c>
      <c r="D99" s="177" t="e">
        <f t="shared" si="76"/>
        <v>#DIV/0!</v>
      </c>
      <c r="E99" s="177" t="e">
        <f t="shared" si="76"/>
        <v>#DIV/0!</v>
      </c>
      <c r="F99" s="177" t="e">
        <f t="shared" si="76"/>
        <v>#DIV/0!</v>
      </c>
      <c r="G99" s="177" t="e">
        <f t="shared" si="76"/>
        <v>#DIV/0!</v>
      </c>
      <c r="H99" s="177" t="e">
        <f t="shared" si="76"/>
        <v>#DIV/0!</v>
      </c>
      <c r="I99" s="177" t="e">
        <f t="shared" si="76"/>
        <v>#DIV/0!</v>
      </c>
      <c r="J99" s="176" t="e">
        <f t="shared" si="76"/>
        <v>#DIV/0!</v>
      </c>
      <c r="K99" s="177" t="e">
        <f t="shared" ref="K99:S99" si="77">K98/K96</f>
        <v>#DIV/0!</v>
      </c>
      <c r="L99" s="177" t="e">
        <f t="shared" si="77"/>
        <v>#DIV/0!</v>
      </c>
      <c r="M99" s="177" t="e">
        <f t="shared" si="77"/>
        <v>#DIV/0!</v>
      </c>
      <c r="N99" s="177" t="e">
        <f t="shared" si="77"/>
        <v>#DIV/0!</v>
      </c>
      <c r="O99" s="177" t="e">
        <f t="shared" si="77"/>
        <v>#DIV/0!</v>
      </c>
      <c r="P99" s="177" t="e">
        <f t="shared" si="77"/>
        <v>#DIV/0!</v>
      </c>
      <c r="Q99" s="177" t="e">
        <f t="shared" si="77"/>
        <v>#DIV/0!</v>
      </c>
      <c r="R99" s="176" t="e">
        <f t="shared" si="77"/>
        <v>#DIV/0!</v>
      </c>
      <c r="S99" s="177" t="e">
        <f t="shared" si="77"/>
        <v>#DIV/0!</v>
      </c>
      <c r="T99" s="177" t="e">
        <f t="shared" ref="T99:Z99" si="78">T98/T96</f>
        <v>#DIV/0!</v>
      </c>
      <c r="U99" s="177" t="e">
        <f t="shared" si="78"/>
        <v>#DIV/0!</v>
      </c>
      <c r="V99" s="177" t="e">
        <f t="shared" si="78"/>
        <v>#DIV/0!</v>
      </c>
      <c r="W99" s="177" t="e">
        <f t="shared" si="78"/>
        <v>#DIV/0!</v>
      </c>
      <c r="X99" s="177" t="e">
        <f t="shared" si="78"/>
        <v>#DIV/0!</v>
      </c>
      <c r="Y99" s="177" t="e">
        <f t="shared" si="78"/>
        <v>#DIV/0!</v>
      </c>
      <c r="Z99" s="176" t="e">
        <f t="shared" si="78"/>
        <v>#DIV/0!</v>
      </c>
      <c r="AA99" s="177" t="e">
        <f t="shared" ref="AA99:AH99" si="79">AA98/AA96</f>
        <v>#DIV/0!</v>
      </c>
      <c r="AB99" s="177" t="e">
        <f t="shared" si="79"/>
        <v>#DIV/0!</v>
      </c>
      <c r="AC99" s="177" t="e">
        <f t="shared" si="79"/>
        <v>#DIV/0!</v>
      </c>
      <c r="AD99" s="177" t="e">
        <f t="shared" si="79"/>
        <v>#DIV/0!</v>
      </c>
      <c r="AE99" s="177" t="e">
        <f t="shared" si="79"/>
        <v>#DIV/0!</v>
      </c>
      <c r="AF99" s="177" t="e">
        <f t="shared" si="79"/>
        <v>#DIV/0!</v>
      </c>
      <c r="AG99" s="177" t="e">
        <f t="shared" si="79"/>
        <v>#DIV/0!</v>
      </c>
      <c r="AH99" s="176" t="e">
        <f t="shared" si="79"/>
        <v>#DIV/0!</v>
      </c>
      <c r="AI99" s="177" t="e">
        <f t="shared" ref="AI99:AS99" si="80">AI98/AI96</f>
        <v>#DIV/0!</v>
      </c>
      <c r="AJ99" s="177" t="e">
        <f t="shared" si="80"/>
        <v>#DIV/0!</v>
      </c>
      <c r="AK99" s="177" t="e">
        <f t="shared" si="80"/>
        <v>#DIV/0!</v>
      </c>
      <c r="AL99" s="177" t="e">
        <f t="shared" si="80"/>
        <v>#DIV/0!</v>
      </c>
      <c r="AM99" s="177" t="e">
        <f t="shared" si="80"/>
        <v>#DIV/0!</v>
      </c>
      <c r="AN99" s="177" t="e">
        <f t="shared" si="80"/>
        <v>#DIV/0!</v>
      </c>
      <c r="AO99" s="177"/>
      <c r="AP99" s="177"/>
      <c r="AQ99" s="177" t="e">
        <f t="shared" si="80"/>
        <v>#DIV/0!</v>
      </c>
      <c r="AR99" s="176" t="e">
        <f t="shared" si="80"/>
        <v>#DIV/0!</v>
      </c>
      <c r="AS99" s="193" t="e">
        <f t="shared" si="80"/>
        <v>#REF!</v>
      </c>
    </row>
    <row r="100" spans="1:45">
      <c r="B100" s="151"/>
      <c r="C100" s="178"/>
      <c r="D100" s="178"/>
      <c r="E100" s="178"/>
      <c r="F100" s="178"/>
      <c r="G100" s="178"/>
      <c r="H100" s="186"/>
      <c r="I100" s="178"/>
      <c r="J100" s="151"/>
      <c r="K100" s="178"/>
      <c r="L100" s="178"/>
      <c r="M100" s="178"/>
      <c r="N100" s="178"/>
      <c r="O100" s="178"/>
      <c r="P100" s="178"/>
      <c r="Q100" s="188"/>
      <c r="R100" s="151"/>
      <c r="S100" s="189"/>
      <c r="T100" s="189"/>
      <c r="U100" s="189"/>
      <c r="V100" s="189"/>
      <c r="W100" s="189"/>
      <c r="X100" s="189"/>
      <c r="Y100" s="189"/>
      <c r="Z100" s="151"/>
      <c r="AA100" s="188"/>
      <c r="AB100" s="178"/>
      <c r="AC100" s="178"/>
      <c r="AD100" s="178"/>
      <c r="AE100" s="178"/>
      <c r="AF100" s="178"/>
      <c r="AG100" s="178"/>
      <c r="AH100" s="151"/>
      <c r="AI100" s="178"/>
      <c r="AJ100" s="188"/>
      <c r="AK100" s="189"/>
      <c r="AL100" s="189"/>
      <c r="AM100" s="189"/>
      <c r="AN100" s="189"/>
      <c r="AO100" s="189"/>
      <c r="AP100" s="189"/>
      <c r="AQ100" s="189"/>
      <c r="AR100" s="151"/>
      <c r="AS100" s="47"/>
    </row>
    <row r="101" spans="1:45">
      <c r="A101" s="47"/>
      <c r="B101" s="179"/>
      <c r="C101" s="180"/>
      <c r="D101" s="180"/>
      <c r="E101" s="180"/>
      <c r="F101" s="180"/>
      <c r="G101" s="180"/>
      <c r="H101" s="187"/>
      <c r="I101" s="180"/>
      <c r="J101" s="179"/>
      <c r="K101" s="180"/>
      <c r="L101" s="180"/>
      <c r="M101" s="180"/>
      <c r="N101" s="180"/>
      <c r="O101" s="180"/>
      <c r="P101" s="180"/>
      <c r="Q101" s="187"/>
      <c r="R101" s="179"/>
      <c r="S101" s="180"/>
      <c r="T101" s="180"/>
      <c r="U101" s="180"/>
      <c r="V101" s="180"/>
      <c r="W101" s="180"/>
      <c r="X101" s="180"/>
      <c r="Y101" s="180"/>
      <c r="Z101" s="179"/>
      <c r="AA101" s="187"/>
      <c r="AB101" s="180"/>
      <c r="AC101" s="180"/>
      <c r="AD101" s="180"/>
      <c r="AE101" s="180"/>
      <c r="AF101" s="180"/>
      <c r="AG101" s="180"/>
      <c r="AH101" s="179"/>
      <c r="AI101" s="180"/>
      <c r="AJ101" s="187"/>
      <c r="AK101" s="180"/>
      <c r="AL101" s="180"/>
      <c r="AM101" s="180"/>
      <c r="AN101" s="180"/>
      <c r="AO101" s="180"/>
      <c r="AP101" s="180"/>
      <c r="AQ101" s="180"/>
      <c r="AR101" s="194" t="s">
        <v>16</v>
      </c>
      <c r="AS101" s="121"/>
    </row>
    <row r="102" spans="1:45">
      <c r="A102" s="47"/>
      <c r="B102" s="181"/>
      <c r="C102" s="160"/>
      <c r="D102" s="182"/>
      <c r="E102" s="160"/>
      <c r="F102" s="160"/>
      <c r="G102" s="182"/>
      <c r="H102" s="182"/>
      <c r="I102" s="182"/>
      <c r="J102" s="181"/>
      <c r="K102" s="182"/>
      <c r="L102" s="182"/>
      <c r="M102" s="160"/>
      <c r="N102" s="160"/>
      <c r="O102" s="182"/>
      <c r="P102" s="182"/>
      <c r="Q102" s="160"/>
      <c r="R102" s="181"/>
      <c r="S102" s="160"/>
      <c r="T102" s="160"/>
      <c r="U102" s="160"/>
      <c r="V102" s="160"/>
      <c r="W102" s="160"/>
      <c r="X102" s="160"/>
      <c r="Y102" s="160"/>
      <c r="Z102" s="181"/>
      <c r="AA102" s="160"/>
      <c r="AB102" s="160"/>
      <c r="AC102" s="160"/>
      <c r="AD102" s="160"/>
      <c r="AE102" s="160"/>
      <c r="AF102" s="160"/>
      <c r="AG102" s="160"/>
      <c r="AH102" s="181"/>
      <c r="AI102" s="160"/>
      <c r="AJ102" s="160"/>
      <c r="AK102" s="160"/>
      <c r="AL102" s="160"/>
      <c r="AM102" s="190"/>
      <c r="AN102" s="160"/>
      <c r="AO102" s="160"/>
      <c r="AP102" s="160"/>
      <c r="AQ102" s="160"/>
      <c r="AR102" s="195" t="s">
        <v>17</v>
      </c>
      <c r="AS102" s="196"/>
    </row>
    <row r="103" spans="1:45">
      <c r="A103" s="151" t="s">
        <v>29</v>
      </c>
      <c r="B103" s="163" t="s">
        <v>2</v>
      </c>
      <c r="C103" s="163" t="s">
        <v>3</v>
      </c>
      <c r="D103" s="163" t="s">
        <v>4</v>
      </c>
      <c r="E103" s="163" t="s">
        <v>4</v>
      </c>
      <c r="F103" s="163" t="s">
        <v>5</v>
      </c>
      <c r="G103" s="163" t="s">
        <v>6</v>
      </c>
      <c r="H103" s="163" t="s">
        <v>7</v>
      </c>
      <c r="I103" s="163" t="s">
        <v>2</v>
      </c>
      <c r="J103" s="163"/>
      <c r="K103" s="163" t="s">
        <v>3</v>
      </c>
      <c r="L103" s="163" t="s">
        <v>4</v>
      </c>
      <c r="M103" s="163" t="s">
        <v>4</v>
      </c>
      <c r="N103" s="163" t="s">
        <v>5</v>
      </c>
      <c r="O103" s="163" t="s">
        <v>6</v>
      </c>
      <c r="P103" s="163" t="s">
        <v>7</v>
      </c>
      <c r="Q103" s="163" t="s">
        <v>2</v>
      </c>
      <c r="R103" s="163"/>
      <c r="S103" s="163" t="s">
        <v>3</v>
      </c>
      <c r="T103" s="163" t="s">
        <v>4</v>
      </c>
      <c r="U103" s="163" t="s">
        <v>4</v>
      </c>
      <c r="V103" s="163" t="s">
        <v>5</v>
      </c>
      <c r="W103" s="163" t="s">
        <v>6</v>
      </c>
      <c r="X103" s="163" t="s">
        <v>7</v>
      </c>
      <c r="Y103" s="163" t="s">
        <v>2</v>
      </c>
      <c r="Z103" s="163"/>
      <c r="AA103" s="163" t="s">
        <v>3</v>
      </c>
      <c r="AB103" s="163" t="s">
        <v>4</v>
      </c>
      <c r="AC103" s="163" t="s">
        <v>4</v>
      </c>
      <c r="AD103" s="163" t="s">
        <v>5</v>
      </c>
      <c r="AE103" s="163" t="s">
        <v>6</v>
      </c>
      <c r="AF103" s="163" t="s">
        <v>7</v>
      </c>
      <c r="AG103" s="163" t="s">
        <v>2</v>
      </c>
      <c r="AH103" s="163"/>
      <c r="AI103" s="163" t="s">
        <v>3</v>
      </c>
      <c r="AJ103" s="163" t="s">
        <v>4</v>
      </c>
      <c r="AK103" s="163" t="s">
        <v>4</v>
      </c>
      <c r="AL103" s="163" t="s">
        <v>5</v>
      </c>
      <c r="AM103" s="163" t="s">
        <v>6</v>
      </c>
      <c r="AN103" s="163" t="s">
        <v>7</v>
      </c>
      <c r="AO103" s="163"/>
      <c r="AP103" s="163"/>
      <c r="AQ103" s="163" t="s">
        <v>2</v>
      </c>
      <c r="AR103" s="151"/>
      <c r="AS103" s="161"/>
    </row>
    <row r="104" spans="1:45">
      <c r="A104" s="164" t="s">
        <v>8</v>
      </c>
      <c r="B104" s="183"/>
      <c r="C104" s="168"/>
      <c r="D104" s="168"/>
      <c r="E104" s="169"/>
      <c r="F104" s="169">
        <v>44896</v>
      </c>
      <c r="G104" s="169">
        <v>44897</v>
      </c>
      <c r="H104" s="169">
        <v>44898</v>
      </c>
      <c r="I104" s="169">
        <v>44899</v>
      </c>
      <c r="J104" s="166" t="s">
        <v>9</v>
      </c>
      <c r="K104" s="169">
        <v>44900</v>
      </c>
      <c r="L104" s="169">
        <v>44901</v>
      </c>
      <c r="M104" s="169">
        <v>44902</v>
      </c>
      <c r="N104" s="169">
        <v>44903</v>
      </c>
      <c r="O104" s="169">
        <v>44904</v>
      </c>
      <c r="P104" s="169">
        <v>44905</v>
      </c>
      <c r="Q104" s="169">
        <v>44906</v>
      </c>
      <c r="R104" s="166" t="s">
        <v>9</v>
      </c>
      <c r="S104" s="169">
        <v>44907</v>
      </c>
      <c r="T104" s="169">
        <v>44908</v>
      </c>
      <c r="U104" s="169">
        <v>44909</v>
      </c>
      <c r="V104" s="169">
        <v>44910</v>
      </c>
      <c r="W104" s="169">
        <v>44911</v>
      </c>
      <c r="X104" s="169">
        <v>44912</v>
      </c>
      <c r="Y104" s="169">
        <v>44913</v>
      </c>
      <c r="Z104" s="166" t="s">
        <v>9</v>
      </c>
      <c r="AA104" s="169">
        <v>44914</v>
      </c>
      <c r="AB104" s="169">
        <v>44915</v>
      </c>
      <c r="AC104" s="169">
        <v>44916</v>
      </c>
      <c r="AD104" s="169">
        <v>44917</v>
      </c>
      <c r="AE104" s="169">
        <v>44918</v>
      </c>
      <c r="AF104" s="169">
        <v>44919</v>
      </c>
      <c r="AG104" s="169">
        <v>44920</v>
      </c>
      <c r="AH104" s="166" t="s">
        <v>9</v>
      </c>
      <c r="AI104" s="169">
        <v>44921</v>
      </c>
      <c r="AJ104" s="169">
        <v>44922</v>
      </c>
      <c r="AK104" s="169">
        <v>44923</v>
      </c>
      <c r="AL104" s="169">
        <v>44924</v>
      </c>
      <c r="AM104" s="169">
        <v>44925</v>
      </c>
      <c r="AN104" s="169">
        <v>44926</v>
      </c>
      <c r="AO104" s="169"/>
      <c r="AP104" s="169"/>
      <c r="AQ104" s="169">
        <v>44927</v>
      </c>
      <c r="AR104" s="166" t="s">
        <v>9</v>
      </c>
      <c r="AS104" s="191" t="s">
        <v>10</v>
      </c>
    </row>
    <row r="105" spans="1:45">
      <c r="A105" s="170" t="s">
        <v>11</v>
      </c>
      <c r="B105" s="165"/>
      <c r="C105" s="172"/>
      <c r="D105" s="173"/>
      <c r="E105" s="173"/>
      <c r="F105" s="173"/>
      <c r="G105" s="173"/>
      <c r="H105" s="173"/>
      <c r="I105" s="173"/>
      <c r="J105" s="185">
        <f>SUM(C105:I105)</f>
        <v>0</v>
      </c>
      <c r="K105" s="173"/>
      <c r="L105" s="173"/>
      <c r="M105" s="173"/>
      <c r="N105" s="173"/>
      <c r="O105" s="173"/>
      <c r="P105" s="173"/>
      <c r="Q105" s="173"/>
      <c r="R105" s="185">
        <f>SUM(K105:Q105)</f>
        <v>0</v>
      </c>
      <c r="S105" s="173"/>
      <c r="T105" s="173"/>
      <c r="U105" s="173"/>
      <c r="V105" s="173"/>
      <c r="W105" s="173"/>
      <c r="X105" s="173"/>
      <c r="Y105" s="173"/>
      <c r="Z105" s="185">
        <f>SUM(S105:Y105)</f>
        <v>0</v>
      </c>
      <c r="AA105" s="173"/>
      <c r="AB105" s="173"/>
      <c r="AC105" s="173"/>
      <c r="AD105" s="173"/>
      <c r="AE105" s="173"/>
      <c r="AF105" s="173"/>
      <c r="AG105" s="173"/>
      <c r="AH105" s="185">
        <f>SUM(AA105:AG105)</f>
        <v>0</v>
      </c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85">
        <f>SUM(AI105:AQ105)</f>
        <v>0</v>
      </c>
      <c r="AS105" s="192" t="e">
        <f>SUM(Z105,R105,J105,#REF!,AH105,AR105)</f>
        <v>#REF!</v>
      </c>
    </row>
    <row r="106" spans="1:45">
      <c r="A106" s="170" t="s">
        <v>12</v>
      </c>
      <c r="B106" s="165"/>
      <c r="C106" s="172"/>
      <c r="D106" s="173"/>
      <c r="E106" s="173"/>
      <c r="F106" s="173"/>
      <c r="G106" s="173"/>
      <c r="H106" s="173"/>
      <c r="I106" s="173"/>
      <c r="J106" s="185">
        <f>SUM(C106:I106)</f>
        <v>0</v>
      </c>
      <c r="K106" s="173"/>
      <c r="L106" s="173"/>
      <c r="M106" s="173"/>
      <c r="N106" s="173"/>
      <c r="O106" s="173"/>
      <c r="P106" s="173"/>
      <c r="Q106" s="173"/>
      <c r="R106" s="185">
        <f>SUM(K106:Q106)</f>
        <v>0</v>
      </c>
      <c r="S106" s="173"/>
      <c r="T106" s="173"/>
      <c r="U106" s="173"/>
      <c r="V106" s="173"/>
      <c r="W106" s="173"/>
      <c r="X106" s="173"/>
      <c r="Y106" s="173"/>
      <c r="Z106" s="185">
        <f>SUM(S106:Y106)</f>
        <v>0</v>
      </c>
      <c r="AA106" s="173"/>
      <c r="AB106" s="173"/>
      <c r="AC106" s="173"/>
      <c r="AD106" s="173"/>
      <c r="AE106" s="173"/>
      <c r="AF106" s="173"/>
      <c r="AG106" s="173"/>
      <c r="AH106" s="185">
        <f>SUM(AA106:AG106)</f>
        <v>0</v>
      </c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85">
        <f>SUM(AI106:AQ106)</f>
        <v>0</v>
      </c>
      <c r="AS106" s="192" t="e">
        <f>SUM(Z106,R106,J106,#REF!,AH106,AR106)</f>
        <v>#REF!</v>
      </c>
    </row>
    <row r="107" spans="1:45">
      <c r="A107" s="174" t="s">
        <v>13</v>
      </c>
      <c r="B107" s="173"/>
      <c r="C107" s="173"/>
      <c r="D107" s="173"/>
      <c r="E107" s="173"/>
      <c r="F107" s="173"/>
      <c r="G107" s="173"/>
      <c r="H107" s="173"/>
      <c r="I107" s="173"/>
      <c r="J107" s="185">
        <f>SUM(C107:I107)</f>
        <v>0</v>
      </c>
      <c r="K107" s="173"/>
      <c r="L107" s="173"/>
      <c r="M107" s="173"/>
      <c r="N107" s="173"/>
      <c r="O107" s="173"/>
      <c r="P107" s="173"/>
      <c r="Q107" s="173"/>
      <c r="R107" s="185">
        <f>SUM(K107:Q107)</f>
        <v>0</v>
      </c>
      <c r="S107" s="173"/>
      <c r="T107" s="173"/>
      <c r="U107" s="173"/>
      <c r="V107" s="173"/>
      <c r="W107" s="173">
        <f>'P2'!R94</f>
        <v>0</v>
      </c>
      <c r="X107" s="173">
        <f>'P2'!S94</f>
        <v>0</v>
      </c>
      <c r="Y107" s="173">
        <f>'P2'!T94</f>
        <v>0</v>
      </c>
      <c r="Z107" s="185">
        <f>SUM(S107:Y107)</f>
        <v>0</v>
      </c>
      <c r="AA107" s="173">
        <f>'P2'!U94</f>
        <v>0</v>
      </c>
      <c r="AB107" s="173">
        <f>'P2'!V94</f>
        <v>0</v>
      </c>
      <c r="AC107" s="173">
        <f>'P2'!W94</f>
        <v>0</v>
      </c>
      <c r="AD107" s="173">
        <f>'P2'!X94</f>
        <v>0</v>
      </c>
      <c r="AE107" s="173">
        <f>'P2'!Y94</f>
        <v>0</v>
      </c>
      <c r="AF107" s="173">
        <f>'P2'!Z94</f>
        <v>0</v>
      </c>
      <c r="AG107" s="173">
        <f>'P2'!AA94</f>
        <v>0</v>
      </c>
      <c r="AH107" s="185">
        <f>SUM(AA107:AG107)</f>
        <v>0</v>
      </c>
      <c r="AI107" s="173">
        <f>'P2'!AB94</f>
        <v>0</v>
      </c>
      <c r="AJ107" s="173">
        <f>'P2'!AC94</f>
        <v>0</v>
      </c>
      <c r="AK107" s="173">
        <f>'P2'!AD94</f>
        <v>0</v>
      </c>
      <c r="AL107" s="173">
        <f>'P2'!AE94</f>
        <v>0</v>
      </c>
      <c r="AM107" s="173">
        <f>'P2'!AF94</f>
        <v>0</v>
      </c>
      <c r="AN107" s="173">
        <f>'P2'!AG94</f>
        <v>0</v>
      </c>
      <c r="AO107" s="173"/>
      <c r="AP107" s="173"/>
      <c r="AQ107" s="173">
        <f>'P2'!AH94</f>
        <v>0</v>
      </c>
      <c r="AR107" s="185">
        <f>SUM(AI107:AQ107)</f>
        <v>0</v>
      </c>
      <c r="AS107" s="192" t="e">
        <f>SUM(Z107,R107,J107,#REF!,AH107,AR107)</f>
        <v>#REF!</v>
      </c>
    </row>
    <row r="108" spans="1:45">
      <c r="A108" s="164" t="s">
        <v>15</v>
      </c>
      <c r="B108" s="177" t="e">
        <f t="shared" ref="B108" si="81">B107/B105</f>
        <v>#DIV/0!</v>
      </c>
      <c r="C108" s="177" t="e">
        <f t="shared" ref="C108:J108" si="82">C107/C105</f>
        <v>#DIV/0!</v>
      </c>
      <c r="D108" s="177" t="e">
        <f t="shared" si="82"/>
        <v>#DIV/0!</v>
      </c>
      <c r="E108" s="177" t="e">
        <f t="shared" si="82"/>
        <v>#DIV/0!</v>
      </c>
      <c r="F108" s="177" t="e">
        <f t="shared" si="82"/>
        <v>#DIV/0!</v>
      </c>
      <c r="G108" s="177" t="e">
        <f t="shared" si="82"/>
        <v>#DIV/0!</v>
      </c>
      <c r="H108" s="177" t="e">
        <f t="shared" si="82"/>
        <v>#DIV/0!</v>
      </c>
      <c r="I108" s="177" t="e">
        <f t="shared" si="82"/>
        <v>#DIV/0!</v>
      </c>
      <c r="J108" s="176" t="e">
        <f t="shared" si="82"/>
        <v>#DIV/0!</v>
      </c>
      <c r="K108" s="177" t="e">
        <f t="shared" ref="K108:S108" si="83">K107/K105</f>
        <v>#DIV/0!</v>
      </c>
      <c r="L108" s="177" t="e">
        <f t="shared" si="83"/>
        <v>#DIV/0!</v>
      </c>
      <c r="M108" s="177" t="e">
        <f t="shared" si="83"/>
        <v>#DIV/0!</v>
      </c>
      <c r="N108" s="177" t="e">
        <f t="shared" si="83"/>
        <v>#DIV/0!</v>
      </c>
      <c r="O108" s="177" t="e">
        <f t="shared" si="83"/>
        <v>#DIV/0!</v>
      </c>
      <c r="P108" s="177" t="e">
        <f t="shared" si="83"/>
        <v>#DIV/0!</v>
      </c>
      <c r="Q108" s="177" t="e">
        <f t="shared" si="83"/>
        <v>#DIV/0!</v>
      </c>
      <c r="R108" s="176" t="e">
        <f t="shared" si="83"/>
        <v>#DIV/0!</v>
      </c>
      <c r="S108" s="177" t="e">
        <f t="shared" si="83"/>
        <v>#DIV/0!</v>
      </c>
      <c r="T108" s="177" t="e">
        <f t="shared" ref="T108:Z108" si="84">T107/T105</f>
        <v>#DIV/0!</v>
      </c>
      <c r="U108" s="177" t="e">
        <f t="shared" si="84"/>
        <v>#DIV/0!</v>
      </c>
      <c r="V108" s="177" t="e">
        <f t="shared" si="84"/>
        <v>#DIV/0!</v>
      </c>
      <c r="W108" s="177" t="e">
        <f t="shared" si="84"/>
        <v>#DIV/0!</v>
      </c>
      <c r="X108" s="177" t="e">
        <f t="shared" si="84"/>
        <v>#DIV/0!</v>
      </c>
      <c r="Y108" s="177" t="e">
        <f t="shared" si="84"/>
        <v>#DIV/0!</v>
      </c>
      <c r="Z108" s="176" t="e">
        <f t="shared" si="84"/>
        <v>#DIV/0!</v>
      </c>
      <c r="AA108" s="177" t="e">
        <f t="shared" ref="AA108:AH108" si="85">AA107/AA105</f>
        <v>#DIV/0!</v>
      </c>
      <c r="AB108" s="177" t="e">
        <f t="shared" si="85"/>
        <v>#DIV/0!</v>
      </c>
      <c r="AC108" s="177" t="e">
        <f t="shared" si="85"/>
        <v>#DIV/0!</v>
      </c>
      <c r="AD108" s="177" t="e">
        <f t="shared" si="85"/>
        <v>#DIV/0!</v>
      </c>
      <c r="AE108" s="177" t="e">
        <f t="shared" si="85"/>
        <v>#DIV/0!</v>
      </c>
      <c r="AF108" s="177" t="e">
        <f t="shared" si="85"/>
        <v>#DIV/0!</v>
      </c>
      <c r="AG108" s="177" t="e">
        <f t="shared" si="85"/>
        <v>#DIV/0!</v>
      </c>
      <c r="AH108" s="176" t="e">
        <f t="shared" si="85"/>
        <v>#DIV/0!</v>
      </c>
      <c r="AI108" s="177" t="e">
        <f t="shared" ref="AI108:AS108" si="86">AI107/AI105</f>
        <v>#DIV/0!</v>
      </c>
      <c r="AJ108" s="177" t="e">
        <f t="shared" si="86"/>
        <v>#DIV/0!</v>
      </c>
      <c r="AK108" s="177" t="e">
        <f t="shared" si="86"/>
        <v>#DIV/0!</v>
      </c>
      <c r="AL108" s="177" t="e">
        <f t="shared" si="86"/>
        <v>#DIV/0!</v>
      </c>
      <c r="AM108" s="177" t="e">
        <f t="shared" si="86"/>
        <v>#DIV/0!</v>
      </c>
      <c r="AN108" s="177" t="e">
        <f t="shared" si="86"/>
        <v>#DIV/0!</v>
      </c>
      <c r="AO108" s="177"/>
      <c r="AP108" s="177"/>
      <c r="AQ108" s="177" t="e">
        <f t="shared" si="86"/>
        <v>#DIV/0!</v>
      </c>
      <c r="AR108" s="176" t="e">
        <f t="shared" si="86"/>
        <v>#DIV/0!</v>
      </c>
      <c r="AS108" s="193" t="e">
        <f t="shared" si="86"/>
        <v>#REF!</v>
      </c>
    </row>
    <row r="109" spans="1:45">
      <c r="B109" s="151"/>
      <c r="C109" s="178"/>
      <c r="D109" s="178"/>
      <c r="E109" s="178"/>
      <c r="F109" s="178"/>
      <c r="G109" s="178"/>
      <c r="H109" s="186"/>
      <c r="I109" s="178"/>
      <c r="J109" s="151"/>
      <c r="K109" s="178"/>
      <c r="L109" s="178"/>
      <c r="M109" s="178"/>
      <c r="N109" s="178"/>
      <c r="O109" s="178"/>
      <c r="P109" s="178"/>
      <c r="Q109" s="188"/>
      <c r="R109" s="151"/>
      <c r="S109" s="189"/>
      <c r="T109" s="189"/>
      <c r="U109" s="189"/>
      <c r="V109" s="189"/>
      <c r="W109" s="189"/>
      <c r="X109" s="189"/>
      <c r="Y109" s="189"/>
      <c r="Z109" s="151"/>
      <c r="AA109" s="188"/>
      <c r="AB109" s="178"/>
      <c r="AC109" s="178"/>
      <c r="AD109" s="178"/>
      <c r="AE109" s="178"/>
      <c r="AF109" s="178"/>
      <c r="AG109" s="178"/>
      <c r="AH109" s="151"/>
      <c r="AI109" s="178"/>
      <c r="AJ109" s="188"/>
      <c r="AK109" s="189"/>
      <c r="AL109" s="189"/>
      <c r="AM109" s="189"/>
      <c r="AN109" s="189"/>
      <c r="AO109" s="189"/>
      <c r="AP109" s="189"/>
      <c r="AQ109" s="189"/>
      <c r="AR109" s="151"/>
      <c r="AS109" s="47"/>
    </row>
    <row r="110" spans="1:45">
      <c r="B110" s="179"/>
      <c r="C110" s="180"/>
      <c r="D110" s="180"/>
      <c r="E110" s="180"/>
      <c r="F110" s="180"/>
      <c r="G110" s="180"/>
      <c r="H110" s="187"/>
      <c r="I110" s="180"/>
      <c r="J110" s="179"/>
      <c r="K110" s="180"/>
      <c r="L110" s="180"/>
      <c r="M110" s="180"/>
      <c r="N110" s="180"/>
      <c r="O110" s="180"/>
      <c r="P110" s="180"/>
      <c r="Q110" s="187"/>
      <c r="R110" s="179"/>
      <c r="S110" s="180"/>
      <c r="T110" s="180"/>
      <c r="U110" s="180"/>
      <c r="V110" s="180"/>
      <c r="W110" s="180"/>
      <c r="X110" s="180"/>
      <c r="Y110" s="180"/>
      <c r="Z110" s="179"/>
      <c r="AA110" s="187"/>
      <c r="AB110" s="180"/>
      <c r="AC110" s="180"/>
      <c r="AD110" s="180"/>
      <c r="AE110" s="180"/>
      <c r="AF110" s="180"/>
      <c r="AG110" s="180"/>
      <c r="AH110" s="179"/>
      <c r="AI110" s="180"/>
      <c r="AJ110" s="187"/>
      <c r="AK110" s="180"/>
      <c r="AL110" s="180"/>
      <c r="AM110" s="180"/>
      <c r="AN110" s="180"/>
      <c r="AO110" s="180"/>
      <c r="AP110" s="180"/>
      <c r="AQ110" s="180"/>
      <c r="AR110" s="194" t="s">
        <v>16</v>
      </c>
      <c r="AS110" s="121"/>
    </row>
    <row r="111" spans="1:45">
      <c r="B111" s="181"/>
      <c r="C111" s="160"/>
      <c r="D111" s="182"/>
      <c r="E111" s="160"/>
      <c r="F111" s="160"/>
      <c r="G111" s="182"/>
      <c r="H111" s="182"/>
      <c r="I111" s="182"/>
      <c r="J111" s="181"/>
      <c r="K111" s="182"/>
      <c r="L111" s="182"/>
      <c r="M111" s="160"/>
      <c r="N111" s="160"/>
      <c r="O111" s="182"/>
      <c r="P111" s="182"/>
      <c r="Q111" s="160"/>
      <c r="R111" s="181"/>
      <c r="S111" s="160"/>
      <c r="T111" s="160"/>
      <c r="U111" s="160"/>
      <c r="V111" s="160"/>
      <c r="W111" s="160"/>
      <c r="X111" s="160"/>
      <c r="Y111" s="160"/>
      <c r="Z111" s="181"/>
      <c r="AA111" s="160"/>
      <c r="AB111" s="160"/>
      <c r="AC111" s="160"/>
      <c r="AD111" s="160"/>
      <c r="AE111" s="160"/>
      <c r="AF111" s="160"/>
      <c r="AG111" s="160"/>
      <c r="AH111" s="181"/>
      <c r="AI111" s="160"/>
      <c r="AJ111" s="160"/>
      <c r="AK111" s="160"/>
      <c r="AL111" s="160"/>
      <c r="AM111" s="190"/>
      <c r="AN111" s="160"/>
      <c r="AO111" s="160"/>
      <c r="AP111" s="160"/>
      <c r="AQ111" s="160"/>
      <c r="AR111" s="195" t="s">
        <v>17</v>
      </c>
      <c r="AS111" s="196"/>
    </row>
    <row r="112" spans="1:45">
      <c r="C112" s="47"/>
      <c r="D112" s="47"/>
      <c r="E112" s="47"/>
      <c r="F112" s="47"/>
      <c r="G112" s="47"/>
      <c r="H112" s="47"/>
      <c r="I112" s="47"/>
      <c r="K112" s="47"/>
      <c r="L112" s="47"/>
      <c r="M112" s="47"/>
      <c r="N112" s="47"/>
      <c r="O112" s="47"/>
      <c r="P112" s="47"/>
      <c r="Q112" s="47"/>
      <c r="S112" s="47"/>
      <c r="T112" s="47"/>
      <c r="U112" s="47"/>
      <c r="V112" s="47"/>
      <c r="W112" s="47"/>
      <c r="X112" s="47"/>
      <c r="Y112" s="47"/>
      <c r="AA112" s="47"/>
      <c r="AB112" s="47"/>
      <c r="AC112" s="47"/>
      <c r="AD112" s="47"/>
      <c r="AE112" s="47"/>
      <c r="AF112" s="47"/>
      <c r="AG112" s="47"/>
      <c r="AI112" s="47"/>
      <c r="AJ112" s="47"/>
      <c r="AK112" s="47"/>
      <c r="AL112" s="161"/>
      <c r="AM112" s="161"/>
      <c r="AN112" s="161"/>
      <c r="AO112" s="161"/>
      <c r="AP112" s="161"/>
      <c r="AQ112" s="161"/>
      <c r="AS112" s="161"/>
    </row>
  </sheetData>
  <pageMargins left="0.69930555555555596" right="0.69930555555555596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94"/>
  <sheetViews>
    <sheetView topLeftCell="A55" zoomScale="85" zoomScaleNormal="85" workbookViewId="0">
      <pane xSplit="1" topLeftCell="B1" activePane="topRight" state="frozen"/>
      <selection pane="topRight" activeCell="Q68" sqref="Q68"/>
    </sheetView>
  </sheetViews>
  <sheetFormatPr defaultColWidth="9.140625" defaultRowHeight="16.5"/>
  <cols>
    <col min="1" max="1" width="16.5703125" style="197" customWidth="1"/>
    <col min="2" max="3" width="6" style="197" customWidth="1"/>
    <col min="4" max="4" width="7.5703125" style="197" customWidth="1"/>
    <col min="5" max="5" width="6.7109375" style="197" customWidth="1"/>
    <col min="6" max="6" width="6.140625" style="197" customWidth="1"/>
    <col min="7" max="7" width="7.5703125" style="197" customWidth="1"/>
    <col min="8" max="8" width="6" style="197" customWidth="1"/>
    <col min="9" max="9" width="6.5703125" style="197" customWidth="1"/>
    <col min="10" max="10" width="6.140625" style="197" customWidth="1"/>
    <col min="11" max="12" width="6.5703125" style="197" customWidth="1"/>
    <col min="13" max="13" width="5.85546875" style="197" customWidth="1"/>
    <col min="14" max="14" width="7" style="197" customWidth="1"/>
    <col min="15" max="15" width="6.5703125" style="197" customWidth="1"/>
    <col min="16" max="16" width="6" style="197" customWidth="1"/>
    <col min="17" max="17" width="7.5703125" style="197" customWidth="1"/>
    <col min="18" max="18" width="6.140625" style="197" customWidth="1"/>
    <col min="19" max="19" width="5.85546875" style="197" customWidth="1"/>
    <col min="20" max="20" width="6.140625" style="197" customWidth="1"/>
    <col min="21" max="21" width="7.5703125" style="197" customWidth="1"/>
    <col min="22" max="22" width="7.5703125" style="197" bestFit="1" customWidth="1"/>
    <col min="23" max="23" width="6.5703125" style="197" customWidth="1"/>
    <col min="24" max="24" width="6.140625" style="197" customWidth="1"/>
    <col min="25" max="26" width="8" style="197" customWidth="1"/>
    <col min="27" max="27" width="6" style="197" customWidth="1"/>
    <col min="28" max="28" width="6.5703125" style="197" customWidth="1"/>
    <col min="29" max="29" width="6.140625" style="197" customWidth="1"/>
    <col min="30" max="30" width="5.85546875" style="197" customWidth="1"/>
    <col min="31" max="31" width="5" style="197" customWidth="1"/>
    <col min="32" max="32" width="6.5703125" style="197" customWidth="1"/>
    <col min="33" max="33" width="9.28515625" style="199"/>
    <col min="34" max="34" width="9.140625" style="199"/>
    <col min="35" max="16384" width="9.140625" style="200"/>
  </cols>
  <sheetData>
    <row r="1" spans="1:34">
      <c r="A1" s="201" t="s">
        <v>31</v>
      </c>
      <c r="B1" s="201">
        <v>1</v>
      </c>
      <c r="C1" s="201">
        <v>2</v>
      </c>
      <c r="D1" s="201">
        <v>3</v>
      </c>
      <c r="E1" s="201">
        <v>4</v>
      </c>
      <c r="F1" s="201">
        <v>5</v>
      </c>
      <c r="G1" s="201">
        <v>6</v>
      </c>
      <c r="H1" s="201">
        <v>7</v>
      </c>
      <c r="I1" s="201">
        <v>8</v>
      </c>
      <c r="J1" s="201">
        <v>9</v>
      </c>
      <c r="K1" s="201">
        <v>10</v>
      </c>
      <c r="L1" s="201">
        <v>11</v>
      </c>
      <c r="M1" s="201">
        <v>12</v>
      </c>
      <c r="N1" s="201">
        <v>13</v>
      </c>
      <c r="O1" s="201">
        <v>14</v>
      </c>
      <c r="P1" s="201">
        <v>15</v>
      </c>
      <c r="Q1" s="201">
        <v>16</v>
      </c>
      <c r="R1" s="201">
        <v>17</v>
      </c>
      <c r="S1" s="201">
        <v>18</v>
      </c>
      <c r="T1" s="201">
        <v>19</v>
      </c>
      <c r="U1" s="201">
        <v>20</v>
      </c>
      <c r="V1" s="201">
        <v>21</v>
      </c>
      <c r="W1" s="201">
        <v>22</v>
      </c>
      <c r="X1" s="201">
        <v>23</v>
      </c>
      <c r="Y1" s="201">
        <v>24</v>
      </c>
      <c r="Z1" s="201">
        <v>25</v>
      </c>
      <c r="AA1" s="201">
        <v>26</v>
      </c>
      <c r="AB1" s="201">
        <v>27</v>
      </c>
      <c r="AC1" s="201">
        <v>28</v>
      </c>
      <c r="AD1" s="201">
        <v>29</v>
      </c>
      <c r="AE1" s="201">
        <v>30</v>
      </c>
      <c r="AF1" s="201">
        <v>31</v>
      </c>
      <c r="AG1" s="199" t="s">
        <v>10</v>
      </c>
    </row>
    <row r="2" spans="1:34">
      <c r="A2" s="202" t="s">
        <v>31</v>
      </c>
    </row>
    <row r="3" spans="1:34" s="197" customFormat="1">
      <c r="A3" s="197" t="s">
        <v>32</v>
      </c>
      <c r="B3" s="198">
        <v>0</v>
      </c>
      <c r="C3" s="198">
        <v>0</v>
      </c>
      <c r="D3" s="198">
        <v>4240</v>
      </c>
      <c r="E3" s="198">
        <v>1508</v>
      </c>
      <c r="F3" s="198">
        <v>0</v>
      </c>
      <c r="G3" s="198">
        <v>0</v>
      </c>
      <c r="H3" s="198">
        <v>0</v>
      </c>
      <c r="I3" s="198">
        <v>0</v>
      </c>
      <c r="J3" s="198">
        <v>0</v>
      </c>
      <c r="K3" s="198">
        <v>0</v>
      </c>
      <c r="L3" s="198">
        <v>4788</v>
      </c>
      <c r="M3" s="198">
        <v>0</v>
      </c>
      <c r="N3" s="198">
        <v>0</v>
      </c>
      <c r="O3" s="198">
        <v>3690</v>
      </c>
      <c r="P3" s="198">
        <v>0</v>
      </c>
      <c r="Q3" s="198">
        <v>0</v>
      </c>
      <c r="R3" s="198">
        <v>0</v>
      </c>
      <c r="S3" s="198">
        <v>2379</v>
      </c>
      <c r="T3" s="198">
        <v>4783</v>
      </c>
      <c r="U3" s="198">
        <v>0</v>
      </c>
      <c r="V3" s="198">
        <v>0</v>
      </c>
      <c r="W3" s="198">
        <v>0</v>
      </c>
      <c r="X3" s="198">
        <v>0</v>
      </c>
      <c r="Y3" s="198">
        <v>0</v>
      </c>
      <c r="Z3" s="198">
        <v>0</v>
      </c>
      <c r="AA3" s="198">
        <v>0</v>
      </c>
      <c r="AB3" s="198">
        <v>0</v>
      </c>
      <c r="AC3" s="198">
        <v>0</v>
      </c>
      <c r="AD3" s="198">
        <v>0</v>
      </c>
      <c r="AE3" s="198">
        <v>0</v>
      </c>
      <c r="AF3" s="198">
        <v>2975</v>
      </c>
      <c r="AG3" s="199">
        <f>SUM(B3:AF3)</f>
        <v>24363</v>
      </c>
      <c r="AH3" s="199">
        <f>AG3/1000</f>
        <v>24.363</v>
      </c>
    </row>
    <row r="4" spans="1:34" s="197" customFormat="1">
      <c r="A4" s="197" t="s">
        <v>33</v>
      </c>
      <c r="B4" s="198">
        <v>0</v>
      </c>
      <c r="C4" s="198">
        <v>0</v>
      </c>
      <c r="D4" s="198">
        <v>0</v>
      </c>
      <c r="E4" s="198">
        <v>8091</v>
      </c>
      <c r="F4" s="198">
        <v>0</v>
      </c>
      <c r="G4" s="198">
        <v>0</v>
      </c>
      <c r="H4" s="198">
        <v>0</v>
      </c>
      <c r="I4" s="198">
        <v>0</v>
      </c>
      <c r="J4" s="198">
        <v>0</v>
      </c>
      <c r="K4" s="198">
        <v>0</v>
      </c>
      <c r="L4" s="198">
        <v>0</v>
      </c>
      <c r="M4" s="198">
        <v>0</v>
      </c>
      <c r="N4" s="198">
        <v>0</v>
      </c>
      <c r="O4" s="198">
        <v>0</v>
      </c>
      <c r="P4" s="198">
        <v>0</v>
      </c>
      <c r="Q4" s="198">
        <v>0</v>
      </c>
      <c r="R4" s="198">
        <v>0</v>
      </c>
      <c r="S4" s="198">
        <v>7979</v>
      </c>
      <c r="T4" s="198">
        <v>5245</v>
      </c>
      <c r="U4" s="198">
        <v>0</v>
      </c>
      <c r="V4" s="198">
        <v>0</v>
      </c>
      <c r="W4" s="198">
        <v>0</v>
      </c>
      <c r="X4" s="198">
        <v>0</v>
      </c>
      <c r="Y4" s="198">
        <v>0</v>
      </c>
      <c r="Z4" s="198">
        <v>0</v>
      </c>
      <c r="AA4" s="198">
        <v>0</v>
      </c>
      <c r="AB4" s="198">
        <v>0</v>
      </c>
      <c r="AC4" s="198">
        <v>0</v>
      </c>
      <c r="AD4" s="198">
        <v>0</v>
      </c>
      <c r="AE4" s="198">
        <v>0</v>
      </c>
      <c r="AF4" s="198">
        <v>6903</v>
      </c>
      <c r="AG4" s="199">
        <f>SUM(B4:AF4)</f>
        <v>28218</v>
      </c>
      <c r="AH4" s="199">
        <f>AG4/1000</f>
        <v>28.218</v>
      </c>
    </row>
    <row r="5" spans="1:34" s="197" customFormat="1">
      <c r="A5" s="197" t="s">
        <v>34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9">
        <f>SUM(B5:AF5)</f>
        <v>0</v>
      </c>
      <c r="AH5" s="199">
        <f>AG5/1000</f>
        <v>0</v>
      </c>
    </row>
    <row r="6" spans="1:34" s="198" customFormat="1">
      <c r="A6" s="198" t="s">
        <v>35</v>
      </c>
      <c r="B6" s="198">
        <f>SUM(B3:B5)</f>
        <v>0</v>
      </c>
      <c r="C6" s="198">
        <f t="shared" ref="C6:AF6" si="0">SUM(C3:C5)</f>
        <v>0</v>
      </c>
      <c r="D6" s="198">
        <f t="shared" si="0"/>
        <v>4240</v>
      </c>
      <c r="E6" s="198">
        <f t="shared" si="0"/>
        <v>9599</v>
      </c>
      <c r="F6" s="198">
        <f t="shared" si="0"/>
        <v>0</v>
      </c>
      <c r="G6" s="198">
        <f t="shared" si="0"/>
        <v>0</v>
      </c>
      <c r="H6" s="198">
        <f t="shared" si="0"/>
        <v>0</v>
      </c>
      <c r="I6" s="198">
        <f t="shared" si="0"/>
        <v>0</v>
      </c>
      <c r="J6" s="198">
        <f t="shared" si="0"/>
        <v>0</v>
      </c>
      <c r="K6" s="198">
        <f t="shared" si="0"/>
        <v>0</v>
      </c>
      <c r="L6" s="198">
        <f t="shared" si="0"/>
        <v>4788</v>
      </c>
      <c r="M6" s="198">
        <f t="shared" si="0"/>
        <v>0</v>
      </c>
      <c r="N6" s="198">
        <f t="shared" si="0"/>
        <v>0</v>
      </c>
      <c r="O6" s="198">
        <f t="shared" si="0"/>
        <v>3690</v>
      </c>
      <c r="P6" s="198">
        <f t="shared" si="0"/>
        <v>0</v>
      </c>
      <c r="Q6" s="198">
        <f t="shared" si="0"/>
        <v>0</v>
      </c>
      <c r="R6" s="198">
        <f t="shared" si="0"/>
        <v>0</v>
      </c>
      <c r="S6" s="198">
        <f t="shared" si="0"/>
        <v>10358</v>
      </c>
      <c r="T6" s="198">
        <f t="shared" si="0"/>
        <v>10028</v>
      </c>
      <c r="U6" s="198">
        <f t="shared" si="0"/>
        <v>0</v>
      </c>
      <c r="V6" s="198">
        <f t="shared" si="0"/>
        <v>0</v>
      </c>
      <c r="W6" s="198">
        <f t="shared" si="0"/>
        <v>0</v>
      </c>
      <c r="X6" s="198">
        <f t="shared" si="0"/>
        <v>0</v>
      </c>
      <c r="Y6" s="198">
        <f t="shared" si="0"/>
        <v>0</v>
      </c>
      <c r="Z6" s="198">
        <f t="shared" si="0"/>
        <v>0</v>
      </c>
      <c r="AA6" s="198">
        <f t="shared" si="0"/>
        <v>0</v>
      </c>
      <c r="AB6" s="198">
        <f t="shared" si="0"/>
        <v>0</v>
      </c>
      <c r="AC6" s="198">
        <f t="shared" si="0"/>
        <v>0</v>
      </c>
      <c r="AD6" s="198">
        <f t="shared" si="0"/>
        <v>0</v>
      </c>
      <c r="AE6" s="198">
        <f t="shared" si="0"/>
        <v>0</v>
      </c>
      <c r="AF6" s="198">
        <f t="shared" si="0"/>
        <v>9878</v>
      </c>
      <c r="AG6" s="207"/>
      <c r="AH6" s="207"/>
    </row>
    <row r="10" spans="1:34">
      <c r="A10" s="203" t="s">
        <v>36</v>
      </c>
      <c r="B10" s="203">
        <v>1</v>
      </c>
      <c r="C10" s="203">
        <v>2</v>
      </c>
      <c r="D10" s="203">
        <v>3</v>
      </c>
      <c r="E10" s="203">
        <v>4</v>
      </c>
      <c r="F10" s="203">
        <v>5</v>
      </c>
      <c r="G10" s="203">
        <v>6</v>
      </c>
      <c r="H10" s="203">
        <v>7</v>
      </c>
      <c r="I10" s="203">
        <v>8</v>
      </c>
      <c r="J10" s="203">
        <v>9</v>
      </c>
      <c r="K10" s="203">
        <v>10</v>
      </c>
      <c r="L10" s="203">
        <v>11</v>
      </c>
      <c r="M10" s="203">
        <v>12</v>
      </c>
      <c r="N10" s="203">
        <v>13</v>
      </c>
      <c r="O10" s="203">
        <v>14</v>
      </c>
      <c r="P10" s="203">
        <v>15</v>
      </c>
      <c r="Q10" s="203">
        <v>16</v>
      </c>
      <c r="R10" s="203">
        <v>17</v>
      </c>
      <c r="S10" s="203">
        <v>18</v>
      </c>
      <c r="T10" s="203">
        <v>19</v>
      </c>
      <c r="U10" s="203">
        <v>20</v>
      </c>
      <c r="V10" s="203">
        <v>21</v>
      </c>
      <c r="W10" s="203">
        <v>22</v>
      </c>
      <c r="X10" s="203">
        <v>23</v>
      </c>
      <c r="Y10" s="203">
        <v>24</v>
      </c>
      <c r="Z10" s="203">
        <v>25</v>
      </c>
      <c r="AA10" s="203">
        <v>26</v>
      </c>
      <c r="AB10" s="203">
        <v>27</v>
      </c>
      <c r="AC10" s="203">
        <v>28</v>
      </c>
      <c r="AD10" s="203">
        <v>29</v>
      </c>
      <c r="AE10" s="203"/>
      <c r="AF10" s="203"/>
      <c r="AG10" s="199" t="s">
        <v>10</v>
      </c>
    </row>
    <row r="11" spans="1:34">
      <c r="A11" s="202" t="s">
        <v>36</v>
      </c>
      <c r="AG11" s="199" t="s">
        <v>37</v>
      </c>
      <c r="AH11" s="199" t="s">
        <v>38</v>
      </c>
    </row>
    <row r="12" spans="1:34" s="197" customFormat="1">
      <c r="A12" s="197" t="s">
        <v>32</v>
      </c>
      <c r="B12" s="198">
        <v>1722</v>
      </c>
      <c r="C12" s="198">
        <v>0</v>
      </c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2208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6394</v>
      </c>
      <c r="Q12" s="197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2250</v>
      </c>
      <c r="X12" s="198">
        <v>2700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/>
      <c r="AE12" s="198"/>
      <c r="AF12" s="198"/>
      <c r="AG12" s="199">
        <f>SUM(B12:AF12)</f>
        <v>15274</v>
      </c>
      <c r="AH12" s="199">
        <f>AG12/1000</f>
        <v>15.273999999999999</v>
      </c>
    </row>
    <row r="13" spans="1:34" s="197" customFormat="1">
      <c r="A13" s="197" t="s">
        <v>33</v>
      </c>
      <c r="B13" s="198">
        <v>8484</v>
      </c>
      <c r="C13" s="198">
        <v>13983</v>
      </c>
      <c r="D13" s="198">
        <v>0</v>
      </c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7980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2209</v>
      </c>
      <c r="Q13" s="197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6500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/>
      <c r="AE13" s="198"/>
      <c r="AF13" s="198"/>
      <c r="AG13" s="199">
        <f>SUM(B13:AF13)</f>
        <v>39156</v>
      </c>
      <c r="AH13" s="199">
        <f>AG13/1000</f>
        <v>39.155999999999999</v>
      </c>
    </row>
    <row r="14" spans="1:34" s="197" customFormat="1">
      <c r="A14" s="197" t="s">
        <v>34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9">
        <f>SUM(B14:AF14)</f>
        <v>0</v>
      </c>
      <c r="AH14" s="199">
        <f>AG14/1000</f>
        <v>0</v>
      </c>
    </row>
    <row r="15" spans="1:34">
      <c r="A15" s="198" t="s">
        <v>35</v>
      </c>
      <c r="B15" s="198">
        <f>SUM(B12:B14)</f>
        <v>10206</v>
      </c>
      <c r="C15" s="198">
        <f t="shared" ref="C15:AD15" si="1">SUM(C12:C14)</f>
        <v>13983</v>
      </c>
      <c r="D15" s="198">
        <f t="shared" si="1"/>
        <v>0</v>
      </c>
      <c r="E15" s="198">
        <f t="shared" si="1"/>
        <v>0</v>
      </c>
      <c r="F15" s="198">
        <f t="shared" si="1"/>
        <v>0</v>
      </c>
      <c r="G15" s="198">
        <f t="shared" si="1"/>
        <v>0</v>
      </c>
      <c r="H15" s="198">
        <f t="shared" si="1"/>
        <v>0</v>
      </c>
      <c r="I15" s="198">
        <f t="shared" si="1"/>
        <v>0</v>
      </c>
      <c r="J15" s="198">
        <f t="shared" si="1"/>
        <v>10188</v>
      </c>
      <c r="K15" s="198">
        <f t="shared" si="1"/>
        <v>0</v>
      </c>
      <c r="L15" s="198">
        <f t="shared" si="1"/>
        <v>0</v>
      </c>
      <c r="M15" s="198">
        <f t="shared" si="1"/>
        <v>0</v>
      </c>
      <c r="N15" s="198">
        <f t="shared" si="1"/>
        <v>0</v>
      </c>
      <c r="O15" s="198">
        <f t="shared" si="1"/>
        <v>0</v>
      </c>
      <c r="P15" s="198">
        <f t="shared" si="1"/>
        <v>8603</v>
      </c>
      <c r="Q15" s="198">
        <f t="shared" si="1"/>
        <v>0</v>
      </c>
      <c r="R15" s="198">
        <f t="shared" si="1"/>
        <v>0</v>
      </c>
      <c r="S15" s="198">
        <f t="shared" si="1"/>
        <v>0</v>
      </c>
      <c r="T15" s="198">
        <f t="shared" si="1"/>
        <v>0</v>
      </c>
      <c r="U15" s="198">
        <f t="shared" si="1"/>
        <v>0</v>
      </c>
      <c r="V15" s="198">
        <f t="shared" si="1"/>
        <v>0</v>
      </c>
      <c r="W15" s="198">
        <f t="shared" si="1"/>
        <v>8750</v>
      </c>
      <c r="X15" s="198">
        <f t="shared" si="1"/>
        <v>2700</v>
      </c>
      <c r="Y15" s="198">
        <f t="shared" si="1"/>
        <v>0</v>
      </c>
      <c r="Z15" s="198">
        <f t="shared" si="1"/>
        <v>0</v>
      </c>
      <c r="AA15" s="198">
        <f t="shared" si="1"/>
        <v>0</v>
      </c>
      <c r="AB15" s="198">
        <f t="shared" si="1"/>
        <v>0</v>
      </c>
      <c r="AC15" s="198">
        <f t="shared" si="1"/>
        <v>0</v>
      </c>
      <c r="AD15" s="198">
        <f t="shared" si="1"/>
        <v>0</v>
      </c>
      <c r="AE15" s="198"/>
      <c r="AF15" s="198"/>
    </row>
    <row r="17" spans="1:35">
      <c r="A17" s="204" t="s">
        <v>39</v>
      </c>
      <c r="B17" s="204">
        <v>1</v>
      </c>
      <c r="C17" s="204">
        <v>2</v>
      </c>
      <c r="D17" s="204">
        <v>3</v>
      </c>
      <c r="E17" s="204">
        <v>4</v>
      </c>
      <c r="F17" s="204">
        <v>5</v>
      </c>
      <c r="G17" s="204">
        <v>6</v>
      </c>
      <c r="H17" s="204">
        <v>7</v>
      </c>
      <c r="I17" s="204">
        <v>8</v>
      </c>
      <c r="J17" s="204">
        <v>9</v>
      </c>
      <c r="K17" s="204">
        <v>10</v>
      </c>
      <c r="L17" s="204">
        <v>11</v>
      </c>
      <c r="M17" s="204">
        <v>12</v>
      </c>
      <c r="N17" s="204">
        <v>13</v>
      </c>
      <c r="O17" s="204">
        <v>14</v>
      </c>
      <c r="P17" s="204">
        <v>15</v>
      </c>
      <c r="Q17" s="204">
        <v>16</v>
      </c>
      <c r="R17" s="204">
        <v>17</v>
      </c>
      <c r="S17" s="204">
        <v>18</v>
      </c>
      <c r="T17" s="204">
        <v>19</v>
      </c>
      <c r="U17" s="204">
        <v>20</v>
      </c>
      <c r="V17" s="204">
        <v>21</v>
      </c>
      <c r="W17" s="204">
        <v>22</v>
      </c>
      <c r="X17" s="204">
        <v>23</v>
      </c>
      <c r="Y17" s="204">
        <v>24</v>
      </c>
      <c r="Z17" s="204">
        <v>25</v>
      </c>
      <c r="AA17" s="204">
        <v>26</v>
      </c>
      <c r="AB17" s="204">
        <v>27</v>
      </c>
      <c r="AC17" s="204">
        <v>28</v>
      </c>
      <c r="AD17" s="204">
        <v>29</v>
      </c>
      <c r="AE17" s="204">
        <v>30</v>
      </c>
      <c r="AF17" s="204">
        <v>31</v>
      </c>
      <c r="AG17" s="199" t="s">
        <v>10</v>
      </c>
    </row>
    <row r="18" spans="1:35">
      <c r="A18" s="202" t="s">
        <v>39</v>
      </c>
      <c r="AG18" s="199" t="s">
        <v>37</v>
      </c>
      <c r="AH18" s="199" t="s">
        <v>38</v>
      </c>
    </row>
    <row r="19" spans="1:35" s="197" customFormat="1">
      <c r="A19" s="197" t="s">
        <v>32</v>
      </c>
      <c r="B19" s="198">
        <v>3691</v>
      </c>
      <c r="C19" s="198">
        <v>0</v>
      </c>
      <c r="D19" s="198">
        <v>1440</v>
      </c>
      <c r="E19" s="198">
        <v>0</v>
      </c>
      <c r="F19" s="198">
        <v>0</v>
      </c>
      <c r="G19" s="198">
        <v>0</v>
      </c>
      <c r="H19" s="198">
        <v>2156</v>
      </c>
      <c r="I19" s="198">
        <v>0</v>
      </c>
      <c r="J19" s="198">
        <v>0</v>
      </c>
      <c r="K19" s="198">
        <v>0</v>
      </c>
      <c r="L19" s="198">
        <v>3343</v>
      </c>
      <c r="M19" s="198">
        <v>0</v>
      </c>
      <c r="N19" s="198">
        <v>0</v>
      </c>
      <c r="O19" s="198">
        <v>3190</v>
      </c>
      <c r="P19" s="198">
        <v>2270</v>
      </c>
      <c r="Q19" s="198">
        <v>0</v>
      </c>
      <c r="R19" s="198">
        <v>2891</v>
      </c>
      <c r="S19" s="198">
        <v>0</v>
      </c>
      <c r="T19" s="198">
        <v>0</v>
      </c>
      <c r="U19" s="198">
        <v>0</v>
      </c>
      <c r="V19" s="198">
        <v>0</v>
      </c>
      <c r="W19" s="198">
        <v>2478</v>
      </c>
      <c r="X19" s="198">
        <v>0</v>
      </c>
      <c r="Y19" s="198">
        <v>0</v>
      </c>
      <c r="Z19" s="198">
        <v>3326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4983</v>
      </c>
      <c r="AG19" s="199">
        <f>SUM(B19:AF19)</f>
        <v>29768</v>
      </c>
      <c r="AH19" s="199">
        <f>AG19/1000</f>
        <v>29.768000000000001</v>
      </c>
    </row>
    <row r="20" spans="1:35" s="197" customFormat="1">
      <c r="A20" s="197" t="s">
        <v>33</v>
      </c>
      <c r="B20" s="198">
        <v>4379</v>
      </c>
      <c r="C20" s="198">
        <v>0</v>
      </c>
      <c r="D20" s="198">
        <v>0</v>
      </c>
      <c r="E20" s="198">
        <v>0</v>
      </c>
      <c r="F20" s="198">
        <v>0</v>
      </c>
      <c r="G20" s="198">
        <v>0</v>
      </c>
      <c r="H20" s="198">
        <v>6391</v>
      </c>
      <c r="I20" s="198">
        <v>0</v>
      </c>
      <c r="J20" s="198">
        <v>0</v>
      </c>
      <c r="K20" s="198">
        <v>0</v>
      </c>
      <c r="L20" s="198">
        <v>5036</v>
      </c>
      <c r="M20" s="198">
        <v>0</v>
      </c>
      <c r="N20" s="198">
        <v>0</v>
      </c>
      <c r="O20" s="198">
        <v>0</v>
      </c>
      <c r="P20" s="198">
        <v>5980</v>
      </c>
      <c r="Q20" s="198">
        <v>0</v>
      </c>
      <c r="R20" s="198">
        <v>5169</v>
      </c>
      <c r="S20" s="198">
        <v>0</v>
      </c>
      <c r="T20" s="198">
        <v>0</v>
      </c>
      <c r="U20" s="198">
        <v>0</v>
      </c>
      <c r="V20" s="198">
        <v>0</v>
      </c>
      <c r="W20" s="198">
        <v>6410</v>
      </c>
      <c r="X20" s="198">
        <v>0</v>
      </c>
      <c r="Y20" s="198">
        <v>0</v>
      </c>
      <c r="Z20" s="198">
        <v>5415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4123</v>
      </c>
      <c r="AG20" s="199">
        <f>SUM(B20:AF20)</f>
        <v>42903</v>
      </c>
      <c r="AH20" s="199">
        <f>AG20/1000</f>
        <v>42.902999999999999</v>
      </c>
    </row>
    <row r="21" spans="1:35" s="197" customFormat="1">
      <c r="A21" s="197" t="s">
        <v>34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210"/>
      <c r="N21" s="198"/>
      <c r="O21" s="198"/>
      <c r="P21" s="198"/>
      <c r="Q21" s="198"/>
      <c r="R21" s="198"/>
      <c r="S21" s="210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9">
        <f>SUM(B21:AF21)</f>
        <v>0</v>
      </c>
      <c r="AH21" s="199">
        <f>AG21/1000</f>
        <v>0</v>
      </c>
    </row>
    <row r="22" spans="1:35">
      <c r="A22" s="198" t="s">
        <v>35</v>
      </c>
      <c r="B22" s="198">
        <f>SUM(B19:B21)</f>
        <v>8070</v>
      </c>
      <c r="C22" s="198">
        <f t="shared" ref="C22:AF22" si="2">SUM(C19:C21)</f>
        <v>0</v>
      </c>
      <c r="D22" s="198">
        <f t="shared" si="2"/>
        <v>1440</v>
      </c>
      <c r="E22" s="198">
        <f t="shared" si="2"/>
        <v>0</v>
      </c>
      <c r="F22" s="198">
        <f t="shared" si="2"/>
        <v>0</v>
      </c>
      <c r="G22" s="198">
        <f t="shared" si="2"/>
        <v>0</v>
      </c>
      <c r="H22" s="198">
        <f t="shared" si="2"/>
        <v>8547</v>
      </c>
      <c r="I22" s="198">
        <f t="shared" si="2"/>
        <v>0</v>
      </c>
      <c r="J22" s="198">
        <f t="shared" si="2"/>
        <v>0</v>
      </c>
      <c r="K22" s="198">
        <f t="shared" si="2"/>
        <v>0</v>
      </c>
      <c r="L22" s="198">
        <f t="shared" si="2"/>
        <v>8379</v>
      </c>
      <c r="M22" s="198">
        <f t="shared" si="2"/>
        <v>0</v>
      </c>
      <c r="N22" s="198">
        <f t="shared" si="2"/>
        <v>0</v>
      </c>
      <c r="O22" s="198">
        <f t="shared" si="2"/>
        <v>3190</v>
      </c>
      <c r="P22" s="198">
        <f t="shared" si="2"/>
        <v>8250</v>
      </c>
      <c r="Q22" s="198">
        <f t="shared" si="2"/>
        <v>0</v>
      </c>
      <c r="R22" s="198">
        <f t="shared" si="2"/>
        <v>8060</v>
      </c>
      <c r="S22" s="198">
        <f t="shared" si="2"/>
        <v>0</v>
      </c>
      <c r="T22" s="198">
        <f t="shared" si="2"/>
        <v>0</v>
      </c>
      <c r="U22" s="198">
        <f t="shared" si="2"/>
        <v>0</v>
      </c>
      <c r="V22" s="198">
        <f t="shared" si="2"/>
        <v>0</v>
      </c>
      <c r="W22" s="198">
        <f t="shared" si="2"/>
        <v>8888</v>
      </c>
      <c r="X22" s="198">
        <f t="shared" si="2"/>
        <v>0</v>
      </c>
      <c r="Y22" s="198">
        <f t="shared" si="2"/>
        <v>0</v>
      </c>
      <c r="Z22" s="198">
        <f t="shared" si="2"/>
        <v>8741</v>
      </c>
      <c r="AA22" s="198">
        <f t="shared" si="2"/>
        <v>0</v>
      </c>
      <c r="AB22" s="198">
        <f t="shared" si="2"/>
        <v>0</v>
      </c>
      <c r="AC22" s="198">
        <f t="shared" si="2"/>
        <v>0</v>
      </c>
      <c r="AD22" s="198">
        <f t="shared" si="2"/>
        <v>0</v>
      </c>
      <c r="AE22" s="198">
        <f t="shared" si="2"/>
        <v>0</v>
      </c>
      <c r="AF22" s="198">
        <f t="shared" si="2"/>
        <v>9106</v>
      </c>
      <c r="AI22" s="197">
        <f>SUM(B22:AH22)</f>
        <v>72671</v>
      </c>
    </row>
    <row r="23" spans="1:35">
      <c r="A23" s="197" t="s">
        <v>40</v>
      </c>
      <c r="M23" s="300"/>
      <c r="AI23" s="197"/>
    </row>
    <row r="24" spans="1:35">
      <c r="AI24" s="197"/>
    </row>
    <row r="25" spans="1:35">
      <c r="A25" s="205" t="s">
        <v>41</v>
      </c>
      <c r="B25" s="205">
        <v>1</v>
      </c>
      <c r="C25" s="205">
        <v>2</v>
      </c>
      <c r="D25" s="205">
        <v>3</v>
      </c>
      <c r="E25" s="205">
        <v>4</v>
      </c>
      <c r="F25" s="205">
        <v>5</v>
      </c>
      <c r="G25" s="205">
        <v>6</v>
      </c>
      <c r="H25" s="205">
        <v>7</v>
      </c>
      <c r="I25" s="205">
        <v>8</v>
      </c>
      <c r="J25" s="205">
        <v>9</v>
      </c>
      <c r="K25" s="205">
        <v>10</v>
      </c>
      <c r="L25" s="205">
        <v>11</v>
      </c>
      <c r="M25" s="205">
        <v>12</v>
      </c>
      <c r="N25" s="205">
        <v>13</v>
      </c>
      <c r="O25" s="205">
        <v>14</v>
      </c>
      <c r="P25" s="205">
        <v>15</v>
      </c>
      <c r="Q25" s="205">
        <v>16</v>
      </c>
      <c r="R25" s="205">
        <v>17</v>
      </c>
      <c r="S25" s="205">
        <v>18</v>
      </c>
      <c r="T25" s="205">
        <v>19</v>
      </c>
      <c r="U25" s="205">
        <v>20</v>
      </c>
      <c r="V25" s="205">
        <v>21</v>
      </c>
      <c r="W25" s="205">
        <v>22</v>
      </c>
      <c r="X25" s="205">
        <v>23</v>
      </c>
      <c r="Y25" s="205">
        <v>24</v>
      </c>
      <c r="Z25" s="205">
        <v>25</v>
      </c>
      <c r="AA25" s="205">
        <v>26</v>
      </c>
      <c r="AB25" s="205">
        <v>27</v>
      </c>
      <c r="AC25" s="205">
        <v>28</v>
      </c>
      <c r="AD25" s="205">
        <v>29</v>
      </c>
      <c r="AE25" s="205">
        <v>30</v>
      </c>
      <c r="AF25" s="205"/>
      <c r="AG25" s="199" t="s">
        <v>10</v>
      </c>
      <c r="AI25" s="197"/>
    </row>
    <row r="26" spans="1:35">
      <c r="A26" s="202" t="s">
        <v>41</v>
      </c>
      <c r="AG26" s="199" t="s">
        <v>37</v>
      </c>
      <c r="AH26" s="199" t="s">
        <v>38</v>
      </c>
    </row>
    <row r="27" spans="1:35">
      <c r="A27" s="197" t="s">
        <v>32</v>
      </c>
      <c r="B27" s="198">
        <v>0</v>
      </c>
      <c r="C27" s="198">
        <v>0</v>
      </c>
      <c r="D27" s="198">
        <v>0</v>
      </c>
      <c r="E27" s="198">
        <f>7054+4930</f>
        <v>11984</v>
      </c>
      <c r="F27" s="198">
        <v>0</v>
      </c>
      <c r="G27" s="198">
        <v>0</v>
      </c>
      <c r="H27" s="198">
        <v>0</v>
      </c>
      <c r="I27" s="198">
        <v>821</v>
      </c>
      <c r="J27" s="198">
        <v>0</v>
      </c>
      <c r="K27" s="198">
        <v>0</v>
      </c>
      <c r="L27" s="198">
        <v>2919</v>
      </c>
      <c r="M27" s="198">
        <v>0</v>
      </c>
      <c r="N27" s="198">
        <v>1555</v>
      </c>
      <c r="O27" s="198">
        <v>840</v>
      </c>
      <c r="P27" s="198">
        <v>0</v>
      </c>
      <c r="Q27" s="198">
        <v>0</v>
      </c>
      <c r="R27" s="198">
        <v>0</v>
      </c>
      <c r="S27" s="198">
        <v>0</v>
      </c>
      <c r="T27" s="198">
        <v>4268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f>1021+3200</f>
        <v>4221</v>
      </c>
      <c r="AA27" s="198">
        <v>0</v>
      </c>
      <c r="AB27" s="198">
        <v>0</v>
      </c>
      <c r="AC27" s="198">
        <v>4794</v>
      </c>
      <c r="AD27" s="198">
        <v>0</v>
      </c>
      <c r="AE27" s="198">
        <v>0</v>
      </c>
      <c r="AG27" s="199">
        <f>SUM(B27:AF27)</f>
        <v>31402</v>
      </c>
      <c r="AH27" s="199">
        <f>AG27/1000</f>
        <v>31.402000000000001</v>
      </c>
    </row>
    <row r="28" spans="1:35">
      <c r="A28" s="197" t="s">
        <v>33</v>
      </c>
      <c r="B28" s="198">
        <v>0</v>
      </c>
      <c r="C28" s="198">
        <v>0</v>
      </c>
      <c r="D28" s="198">
        <v>0</v>
      </c>
      <c r="E28" s="198">
        <v>3032</v>
      </c>
      <c r="F28" s="198">
        <v>0</v>
      </c>
      <c r="G28" s="198">
        <v>0</v>
      </c>
      <c r="H28" s="198">
        <v>0</v>
      </c>
      <c r="I28" s="198">
        <v>8831</v>
      </c>
      <c r="J28" s="198">
        <v>0</v>
      </c>
      <c r="K28" s="198">
        <v>0</v>
      </c>
      <c r="L28" s="198">
        <v>5492</v>
      </c>
      <c r="M28" s="198">
        <v>0</v>
      </c>
      <c r="N28" s="198">
        <v>8372</v>
      </c>
      <c r="O28" s="198">
        <v>9934</v>
      </c>
      <c r="P28" s="198">
        <v>0</v>
      </c>
      <c r="Q28" s="198">
        <v>0</v>
      </c>
      <c r="R28" s="198">
        <v>0</v>
      </c>
      <c r="S28" s="198">
        <v>0</v>
      </c>
      <c r="T28" s="198">
        <v>6592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10676</v>
      </c>
      <c r="AA28" s="198">
        <v>0</v>
      </c>
      <c r="AB28" s="198">
        <v>0</v>
      </c>
      <c r="AC28" s="198">
        <v>6310</v>
      </c>
      <c r="AD28" s="198">
        <v>0</v>
      </c>
      <c r="AE28" s="198">
        <v>0</v>
      </c>
      <c r="AG28" s="199">
        <f>SUM(B28:AF28)</f>
        <v>59239</v>
      </c>
      <c r="AH28" s="199">
        <f>AG28/1000</f>
        <v>59.238999999999997</v>
      </c>
    </row>
    <row r="29" spans="1:35">
      <c r="A29" s="197" t="s">
        <v>34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G29" s="199">
        <f>SUM(B29:AF29)</f>
        <v>0</v>
      </c>
      <c r="AH29" s="199">
        <f>AG29/1000</f>
        <v>0</v>
      </c>
    </row>
    <row r="30" spans="1:35">
      <c r="A30" s="198" t="s">
        <v>35</v>
      </c>
      <c r="B30" s="198">
        <f>SUM(B26:B29)</f>
        <v>0</v>
      </c>
      <c r="C30" s="198">
        <f>SUM(C26:C29)</f>
        <v>0</v>
      </c>
      <c r="D30" s="198">
        <f t="shared" ref="D30:AE30" si="3">SUM(D26:D29)</f>
        <v>0</v>
      </c>
      <c r="E30" s="198">
        <f t="shared" si="3"/>
        <v>15016</v>
      </c>
      <c r="F30" s="198">
        <f t="shared" si="3"/>
        <v>0</v>
      </c>
      <c r="G30" s="198">
        <f t="shared" si="3"/>
        <v>0</v>
      </c>
      <c r="H30" s="198">
        <f t="shared" si="3"/>
        <v>0</v>
      </c>
      <c r="I30" s="198">
        <f t="shared" si="3"/>
        <v>9652</v>
      </c>
      <c r="J30" s="198">
        <f t="shared" si="3"/>
        <v>0</v>
      </c>
      <c r="K30" s="198">
        <f t="shared" si="3"/>
        <v>0</v>
      </c>
      <c r="L30" s="198">
        <f t="shared" si="3"/>
        <v>8411</v>
      </c>
      <c r="M30" s="198">
        <f t="shared" si="3"/>
        <v>0</v>
      </c>
      <c r="N30" s="198">
        <f t="shared" si="3"/>
        <v>9927</v>
      </c>
      <c r="O30" s="198">
        <f t="shared" si="3"/>
        <v>10774</v>
      </c>
      <c r="P30" s="198">
        <f t="shared" si="3"/>
        <v>0</v>
      </c>
      <c r="Q30" s="198">
        <f t="shared" si="3"/>
        <v>0</v>
      </c>
      <c r="R30" s="198">
        <f t="shared" si="3"/>
        <v>0</v>
      </c>
      <c r="S30" s="198">
        <f t="shared" si="3"/>
        <v>0</v>
      </c>
      <c r="T30" s="198">
        <f t="shared" si="3"/>
        <v>10860</v>
      </c>
      <c r="U30" s="198">
        <f t="shared" si="3"/>
        <v>0</v>
      </c>
      <c r="V30" s="198">
        <f t="shared" si="3"/>
        <v>0</v>
      </c>
      <c r="W30" s="198">
        <f t="shared" si="3"/>
        <v>0</v>
      </c>
      <c r="X30" s="198">
        <f t="shared" si="3"/>
        <v>0</v>
      </c>
      <c r="Y30" s="198">
        <f t="shared" si="3"/>
        <v>0</v>
      </c>
      <c r="Z30" s="198">
        <f t="shared" si="3"/>
        <v>14897</v>
      </c>
      <c r="AA30" s="198">
        <f t="shared" si="3"/>
        <v>0</v>
      </c>
      <c r="AB30" s="198">
        <f t="shared" si="3"/>
        <v>0</v>
      </c>
      <c r="AC30" s="198">
        <f t="shared" si="3"/>
        <v>11104</v>
      </c>
      <c r="AD30" s="198">
        <f t="shared" si="3"/>
        <v>0</v>
      </c>
      <c r="AE30" s="198">
        <f t="shared" si="3"/>
        <v>0</v>
      </c>
    </row>
    <row r="33" spans="1:34">
      <c r="A33" s="206" t="s">
        <v>42</v>
      </c>
      <c r="B33" s="206">
        <v>1</v>
      </c>
      <c r="C33" s="206">
        <v>2</v>
      </c>
      <c r="D33" s="206">
        <v>3</v>
      </c>
      <c r="E33" s="206">
        <v>4</v>
      </c>
      <c r="F33" s="206">
        <v>5</v>
      </c>
      <c r="G33" s="206">
        <v>6</v>
      </c>
      <c r="H33" s="206">
        <v>7</v>
      </c>
      <c r="I33" s="206">
        <v>8</v>
      </c>
      <c r="J33" s="206">
        <v>9</v>
      </c>
      <c r="K33" s="206">
        <v>10</v>
      </c>
      <c r="L33" s="206">
        <v>11</v>
      </c>
      <c r="M33" s="206">
        <v>12</v>
      </c>
      <c r="N33" s="206">
        <v>13</v>
      </c>
      <c r="O33" s="206">
        <v>14</v>
      </c>
      <c r="P33" s="206">
        <v>15</v>
      </c>
      <c r="Q33" s="206">
        <v>16</v>
      </c>
      <c r="R33" s="206">
        <v>17</v>
      </c>
      <c r="S33" s="206">
        <v>18</v>
      </c>
      <c r="T33" s="206">
        <v>19</v>
      </c>
      <c r="U33" s="206">
        <v>20</v>
      </c>
      <c r="V33" s="206">
        <v>21</v>
      </c>
      <c r="W33" s="206">
        <v>22</v>
      </c>
      <c r="X33" s="206">
        <v>23</v>
      </c>
      <c r="Y33" s="206">
        <v>24</v>
      </c>
      <c r="Z33" s="206">
        <v>25</v>
      </c>
      <c r="AA33" s="206">
        <v>26</v>
      </c>
      <c r="AB33" s="206">
        <v>27</v>
      </c>
      <c r="AC33" s="206">
        <v>28</v>
      </c>
      <c r="AD33" s="206">
        <v>29</v>
      </c>
      <c r="AE33" s="206">
        <v>30</v>
      </c>
      <c r="AF33" s="206">
        <v>31</v>
      </c>
      <c r="AG33" s="199" t="s">
        <v>10</v>
      </c>
    </row>
    <row r="34" spans="1:34">
      <c r="A34" s="202" t="s">
        <v>42</v>
      </c>
      <c r="AG34" s="199" t="s">
        <v>37</v>
      </c>
      <c r="AH34" s="199" t="s">
        <v>38</v>
      </c>
    </row>
    <row r="35" spans="1:34">
      <c r="A35" s="197" t="s">
        <v>32</v>
      </c>
      <c r="B35" s="198">
        <v>0</v>
      </c>
      <c r="C35" s="198">
        <v>3766</v>
      </c>
      <c r="D35" s="198">
        <v>0</v>
      </c>
      <c r="E35" s="198">
        <v>4010</v>
      </c>
      <c r="F35" s="198">
        <v>0</v>
      </c>
      <c r="G35" s="198">
        <v>0</v>
      </c>
      <c r="H35" s="198">
        <v>0</v>
      </c>
      <c r="I35" s="198">
        <v>0</v>
      </c>
      <c r="J35" s="198">
        <v>0</v>
      </c>
      <c r="K35" s="198">
        <v>3247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2357</v>
      </c>
      <c r="S35" s="198">
        <v>0</v>
      </c>
      <c r="T35" s="198">
        <v>0</v>
      </c>
      <c r="U35" s="198">
        <v>2430</v>
      </c>
      <c r="V35" s="198">
        <v>0</v>
      </c>
      <c r="W35" s="198">
        <v>0</v>
      </c>
      <c r="X35" s="198">
        <v>2374</v>
      </c>
      <c r="Y35" s="198">
        <v>0</v>
      </c>
      <c r="Z35" s="198">
        <v>800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3414</v>
      </c>
      <c r="AG35" s="199">
        <f>SUM(B35:AF35)</f>
        <v>22398</v>
      </c>
      <c r="AH35" s="199">
        <f>AG35/1000</f>
        <v>22.398</v>
      </c>
    </row>
    <row r="36" spans="1:34">
      <c r="A36" s="197" t="s">
        <v>33</v>
      </c>
      <c r="B36" s="198">
        <v>0</v>
      </c>
      <c r="C36" s="198">
        <v>7537</v>
      </c>
      <c r="D36" s="198">
        <v>0</v>
      </c>
      <c r="E36" s="198">
        <v>8099</v>
      </c>
      <c r="F36" s="198">
        <v>0</v>
      </c>
      <c r="G36" s="198">
        <v>0</v>
      </c>
      <c r="H36" s="198">
        <v>0</v>
      </c>
      <c r="I36" s="198">
        <v>0</v>
      </c>
      <c r="J36" s="198">
        <v>0</v>
      </c>
      <c r="K36" s="198">
        <v>7213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8359</v>
      </c>
      <c r="S36" s="198">
        <v>0</v>
      </c>
      <c r="T36" s="198">
        <v>0</v>
      </c>
      <c r="U36" s="198">
        <v>0</v>
      </c>
      <c r="V36" s="198">
        <v>0</v>
      </c>
      <c r="W36" s="198">
        <v>0</v>
      </c>
      <c r="X36" s="198">
        <v>7397</v>
      </c>
      <c r="Y36" s="198">
        <v>0</v>
      </c>
      <c r="Z36" s="198">
        <v>10064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6810</v>
      </c>
      <c r="AG36" s="199">
        <f>SUM(B36:AF36)</f>
        <v>55479</v>
      </c>
      <c r="AH36" s="199">
        <f>AG36/1000</f>
        <v>55.478999999999999</v>
      </c>
    </row>
    <row r="37" spans="1:34">
      <c r="A37" s="197" t="s">
        <v>34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9">
        <f>SUM(B37:AF37)</f>
        <v>0</v>
      </c>
      <c r="AH37" s="199">
        <f>AG37/1000</f>
        <v>0</v>
      </c>
    </row>
    <row r="38" spans="1:34">
      <c r="A38" s="198" t="s">
        <v>35</v>
      </c>
      <c r="B38" s="207">
        <f>SUM(B34:B37)</f>
        <v>0</v>
      </c>
      <c r="C38" s="207">
        <f>SUM(C34:C37)</f>
        <v>11303</v>
      </c>
      <c r="D38" s="207">
        <f t="shared" ref="D38:AF38" si="4">SUM(D34:D37)</f>
        <v>0</v>
      </c>
      <c r="E38" s="207">
        <f t="shared" si="4"/>
        <v>12109</v>
      </c>
      <c r="F38" s="207">
        <f t="shared" si="4"/>
        <v>0</v>
      </c>
      <c r="G38" s="207">
        <f t="shared" si="4"/>
        <v>0</v>
      </c>
      <c r="H38" s="207">
        <f t="shared" si="4"/>
        <v>0</v>
      </c>
      <c r="I38" s="207">
        <f t="shared" si="4"/>
        <v>0</v>
      </c>
      <c r="J38" s="207">
        <f t="shared" si="4"/>
        <v>0</v>
      </c>
      <c r="K38" s="207">
        <f t="shared" si="4"/>
        <v>10460</v>
      </c>
      <c r="L38" s="207">
        <f t="shared" si="4"/>
        <v>0</v>
      </c>
      <c r="M38" s="207">
        <f t="shared" si="4"/>
        <v>0</v>
      </c>
      <c r="N38" s="207">
        <f t="shared" si="4"/>
        <v>0</v>
      </c>
      <c r="O38" s="207">
        <f t="shared" si="4"/>
        <v>0</v>
      </c>
      <c r="P38" s="207">
        <f t="shared" si="4"/>
        <v>0</v>
      </c>
      <c r="Q38" s="207">
        <f t="shared" si="4"/>
        <v>0</v>
      </c>
      <c r="R38" s="207">
        <f t="shared" si="4"/>
        <v>10716</v>
      </c>
      <c r="S38" s="207">
        <f t="shared" si="4"/>
        <v>0</v>
      </c>
      <c r="T38" s="207">
        <f t="shared" si="4"/>
        <v>0</v>
      </c>
      <c r="U38" s="207">
        <f t="shared" si="4"/>
        <v>2430</v>
      </c>
      <c r="V38" s="207">
        <f t="shared" si="4"/>
        <v>0</v>
      </c>
      <c r="W38" s="207">
        <f t="shared" si="4"/>
        <v>0</v>
      </c>
      <c r="X38" s="207">
        <f t="shared" si="4"/>
        <v>9771</v>
      </c>
      <c r="Y38" s="207">
        <f t="shared" si="4"/>
        <v>0</v>
      </c>
      <c r="Z38" s="207">
        <f t="shared" si="4"/>
        <v>10864</v>
      </c>
      <c r="AA38" s="207">
        <f t="shared" si="4"/>
        <v>0</v>
      </c>
      <c r="AB38" s="207">
        <f t="shared" si="4"/>
        <v>0</v>
      </c>
      <c r="AC38" s="207">
        <f t="shared" si="4"/>
        <v>0</v>
      </c>
      <c r="AD38" s="207">
        <f t="shared" si="4"/>
        <v>0</v>
      </c>
      <c r="AE38" s="207">
        <f t="shared" si="4"/>
        <v>0</v>
      </c>
      <c r="AF38" s="207">
        <f t="shared" si="4"/>
        <v>10224</v>
      </c>
    </row>
    <row r="41" spans="1:34">
      <c r="A41" s="208" t="s">
        <v>43</v>
      </c>
      <c r="B41" s="208">
        <v>1</v>
      </c>
      <c r="C41" s="208">
        <v>2</v>
      </c>
      <c r="D41" s="208">
        <v>3</v>
      </c>
      <c r="E41" s="208">
        <v>4</v>
      </c>
      <c r="F41" s="208">
        <v>5</v>
      </c>
      <c r="G41" s="208">
        <v>6</v>
      </c>
      <c r="H41" s="208">
        <v>7</v>
      </c>
      <c r="I41" s="208">
        <v>8</v>
      </c>
      <c r="J41" s="208">
        <v>9</v>
      </c>
      <c r="K41" s="208">
        <v>10</v>
      </c>
      <c r="L41" s="208">
        <v>11</v>
      </c>
      <c r="M41" s="208">
        <v>12</v>
      </c>
      <c r="N41" s="208">
        <v>13</v>
      </c>
      <c r="O41" s="208">
        <v>14</v>
      </c>
      <c r="P41" s="208">
        <v>15</v>
      </c>
      <c r="Q41" s="208">
        <v>16</v>
      </c>
      <c r="R41" s="208">
        <v>17</v>
      </c>
      <c r="S41" s="208">
        <v>18</v>
      </c>
      <c r="T41" s="208">
        <v>19</v>
      </c>
      <c r="U41" s="208">
        <v>20</v>
      </c>
      <c r="V41" s="208">
        <v>21</v>
      </c>
      <c r="W41" s="208">
        <v>22</v>
      </c>
      <c r="X41" s="208">
        <v>23</v>
      </c>
      <c r="Y41" s="208">
        <v>24</v>
      </c>
      <c r="Z41" s="208">
        <v>25</v>
      </c>
      <c r="AA41" s="208">
        <v>26</v>
      </c>
      <c r="AB41" s="208">
        <v>27</v>
      </c>
      <c r="AC41" s="208">
        <v>28</v>
      </c>
      <c r="AD41" s="208">
        <v>29</v>
      </c>
      <c r="AE41" s="208">
        <v>30</v>
      </c>
      <c r="AF41" s="208"/>
      <c r="AG41" s="199" t="s">
        <v>10</v>
      </c>
    </row>
    <row r="42" spans="1:34">
      <c r="A42" s="199" t="s">
        <v>43</v>
      </c>
      <c r="AG42" s="199" t="s">
        <v>37</v>
      </c>
      <c r="AH42" s="199" t="s">
        <v>38</v>
      </c>
    </row>
    <row r="43" spans="1:34">
      <c r="A43" s="197" t="s">
        <v>32</v>
      </c>
      <c r="B43" s="198">
        <v>0</v>
      </c>
      <c r="C43" s="198">
        <v>0</v>
      </c>
      <c r="D43" s="198">
        <v>0</v>
      </c>
      <c r="E43" s="198">
        <v>0</v>
      </c>
      <c r="F43" s="198">
        <v>0</v>
      </c>
      <c r="G43" s="198">
        <v>0</v>
      </c>
      <c r="H43" s="198">
        <v>0</v>
      </c>
      <c r="I43" s="198">
        <v>3579</v>
      </c>
      <c r="J43" s="198">
        <v>0</v>
      </c>
      <c r="K43" s="198">
        <v>3349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f>1990+1520</f>
        <v>3510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5708</v>
      </c>
      <c r="X43" s="198">
        <v>0</v>
      </c>
      <c r="Y43" s="198">
        <v>0</v>
      </c>
      <c r="Z43" s="198">
        <v>0</v>
      </c>
      <c r="AA43" s="198">
        <v>0</v>
      </c>
      <c r="AB43" s="198">
        <v>4955</v>
      </c>
      <c r="AC43" s="198">
        <v>0</v>
      </c>
      <c r="AD43" s="198">
        <v>0</v>
      </c>
      <c r="AE43" s="198">
        <v>1970</v>
      </c>
      <c r="AG43" s="199">
        <f>SUM(B43:AF43)</f>
        <v>23071</v>
      </c>
      <c r="AH43" s="199">
        <f>AG43/1000</f>
        <v>23.071000000000002</v>
      </c>
    </row>
    <row r="44" spans="1:34">
      <c r="A44" s="197" t="s">
        <v>33</v>
      </c>
      <c r="B44" s="198">
        <v>0</v>
      </c>
      <c r="C44" s="198">
        <v>0</v>
      </c>
      <c r="D44" s="198">
        <v>0</v>
      </c>
      <c r="E44" s="198">
        <v>0</v>
      </c>
      <c r="F44" s="198">
        <v>0</v>
      </c>
      <c r="G44" s="198">
        <v>0</v>
      </c>
      <c r="H44" s="198">
        <v>0</v>
      </c>
      <c r="I44" s="198">
        <v>7383</v>
      </c>
      <c r="J44" s="198">
        <v>0</v>
      </c>
      <c r="K44" s="198">
        <v>6327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9141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4465</v>
      </c>
      <c r="X44" s="198">
        <v>0</v>
      </c>
      <c r="Y44" s="198">
        <v>0</v>
      </c>
      <c r="Z44" s="198">
        <v>0</v>
      </c>
      <c r="AA44" s="198">
        <v>0</v>
      </c>
      <c r="AB44" s="198">
        <v>4701</v>
      </c>
      <c r="AC44" s="198">
        <v>0</v>
      </c>
      <c r="AD44" s="198">
        <v>0</v>
      </c>
      <c r="AE44" s="198">
        <v>0</v>
      </c>
      <c r="AG44" s="199">
        <f>SUM(B44:AF44)</f>
        <v>32017</v>
      </c>
      <c r="AH44" s="199">
        <f>AG44/1000</f>
        <v>32.017000000000003</v>
      </c>
    </row>
    <row r="45" spans="1:34">
      <c r="A45" s="197" t="s">
        <v>34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G45" s="199">
        <f>SUM(B45:AF45)</f>
        <v>0</v>
      </c>
      <c r="AH45" s="199">
        <f>AG45/1000</f>
        <v>0</v>
      </c>
    </row>
    <row r="46" spans="1:34">
      <c r="A46" s="198" t="s">
        <v>35</v>
      </c>
      <c r="B46" s="198">
        <f>SUM(B42:B45)</f>
        <v>0</v>
      </c>
      <c r="C46" s="198">
        <f>SUM(C42:C45)</f>
        <v>0</v>
      </c>
      <c r="D46" s="198">
        <f t="shared" ref="D46:AE46" si="5">SUM(D42:D45)</f>
        <v>0</v>
      </c>
      <c r="E46" s="198">
        <f t="shared" si="5"/>
        <v>0</v>
      </c>
      <c r="F46" s="198">
        <f t="shared" si="5"/>
        <v>0</v>
      </c>
      <c r="G46" s="198">
        <f t="shared" si="5"/>
        <v>0</v>
      </c>
      <c r="H46" s="198">
        <f t="shared" si="5"/>
        <v>0</v>
      </c>
      <c r="I46" s="198">
        <f t="shared" si="5"/>
        <v>10962</v>
      </c>
      <c r="J46" s="198">
        <f t="shared" si="5"/>
        <v>0</v>
      </c>
      <c r="K46" s="198">
        <f t="shared" si="5"/>
        <v>9676</v>
      </c>
      <c r="L46" s="198">
        <f t="shared" si="5"/>
        <v>0</v>
      </c>
      <c r="M46" s="198">
        <f t="shared" si="5"/>
        <v>0</v>
      </c>
      <c r="N46" s="198">
        <f t="shared" si="5"/>
        <v>0</v>
      </c>
      <c r="O46" s="198">
        <f t="shared" si="5"/>
        <v>0</v>
      </c>
      <c r="P46" s="198">
        <f t="shared" si="5"/>
        <v>0</v>
      </c>
      <c r="Q46" s="198">
        <f t="shared" si="5"/>
        <v>12651</v>
      </c>
      <c r="R46" s="198">
        <f t="shared" si="5"/>
        <v>0</v>
      </c>
      <c r="S46" s="198">
        <f t="shared" si="5"/>
        <v>0</v>
      </c>
      <c r="T46" s="198">
        <f t="shared" si="5"/>
        <v>0</v>
      </c>
      <c r="U46" s="198">
        <f t="shared" si="5"/>
        <v>0</v>
      </c>
      <c r="V46" s="198">
        <f t="shared" si="5"/>
        <v>0</v>
      </c>
      <c r="W46" s="198">
        <f t="shared" si="5"/>
        <v>10173</v>
      </c>
      <c r="X46" s="198">
        <f t="shared" si="5"/>
        <v>0</v>
      </c>
      <c r="Y46" s="198">
        <f t="shared" si="5"/>
        <v>0</v>
      </c>
      <c r="Z46" s="198">
        <f t="shared" si="5"/>
        <v>0</v>
      </c>
      <c r="AA46" s="198">
        <f t="shared" si="5"/>
        <v>0</v>
      </c>
      <c r="AB46" s="198">
        <f t="shared" si="5"/>
        <v>9656</v>
      </c>
      <c r="AC46" s="198">
        <f t="shared" si="5"/>
        <v>0</v>
      </c>
      <c r="AD46" s="198">
        <f t="shared" si="5"/>
        <v>0</v>
      </c>
      <c r="AE46" s="198">
        <f t="shared" si="5"/>
        <v>1970</v>
      </c>
    </row>
    <row r="49" spans="1:34">
      <c r="A49" s="209" t="s">
        <v>44</v>
      </c>
      <c r="B49" s="209">
        <v>1</v>
      </c>
      <c r="C49" s="209">
        <v>2</v>
      </c>
      <c r="D49" s="209">
        <v>3</v>
      </c>
      <c r="E49" s="209">
        <v>4</v>
      </c>
      <c r="F49" s="209">
        <v>5</v>
      </c>
      <c r="G49" s="209">
        <v>6</v>
      </c>
      <c r="H49" s="209">
        <v>7</v>
      </c>
      <c r="I49" s="209">
        <v>8</v>
      </c>
      <c r="J49" s="209">
        <v>9</v>
      </c>
      <c r="K49" s="209">
        <v>10</v>
      </c>
      <c r="L49" s="209">
        <v>11</v>
      </c>
      <c r="M49" s="209">
        <v>12</v>
      </c>
      <c r="N49" s="209">
        <v>13</v>
      </c>
      <c r="O49" s="209">
        <v>14</v>
      </c>
      <c r="P49" s="209">
        <v>15</v>
      </c>
      <c r="Q49" s="209">
        <v>16</v>
      </c>
      <c r="R49" s="209">
        <v>17</v>
      </c>
      <c r="S49" s="209">
        <v>18</v>
      </c>
      <c r="T49" s="209">
        <v>19</v>
      </c>
      <c r="U49" s="209">
        <v>20</v>
      </c>
      <c r="V49" s="209">
        <v>21</v>
      </c>
      <c r="W49" s="209">
        <v>22</v>
      </c>
      <c r="X49" s="209">
        <v>23</v>
      </c>
      <c r="Y49" s="209">
        <v>24</v>
      </c>
      <c r="Z49" s="209">
        <v>25</v>
      </c>
      <c r="AA49" s="209">
        <v>26</v>
      </c>
      <c r="AB49" s="209">
        <v>27</v>
      </c>
      <c r="AC49" s="209">
        <v>28</v>
      </c>
      <c r="AD49" s="209">
        <v>29</v>
      </c>
      <c r="AE49" s="209">
        <v>30</v>
      </c>
      <c r="AF49" s="209">
        <v>31</v>
      </c>
      <c r="AG49" s="199" t="s">
        <v>10</v>
      </c>
    </row>
    <row r="50" spans="1:34">
      <c r="A50" s="199" t="s">
        <v>44</v>
      </c>
      <c r="AG50" s="199" t="s">
        <v>37</v>
      </c>
      <c r="AH50" s="199" t="s">
        <v>38</v>
      </c>
    </row>
    <row r="51" spans="1:34">
      <c r="A51" s="197" t="s">
        <v>32</v>
      </c>
      <c r="B51" s="197">
        <v>0</v>
      </c>
      <c r="C51" s="197">
        <v>0</v>
      </c>
      <c r="D51" s="197">
        <v>0</v>
      </c>
      <c r="E51" s="321">
        <v>3378</v>
      </c>
      <c r="F51" s="321">
        <v>0</v>
      </c>
      <c r="G51" s="321">
        <v>0</v>
      </c>
      <c r="H51" s="197">
        <v>0</v>
      </c>
      <c r="I51" s="321">
        <v>0</v>
      </c>
      <c r="J51" s="321">
        <v>0</v>
      </c>
      <c r="K51" s="321">
        <v>0</v>
      </c>
      <c r="L51" s="321">
        <v>0</v>
      </c>
      <c r="M51" s="321">
        <v>0</v>
      </c>
      <c r="N51" s="321">
        <v>2530</v>
      </c>
      <c r="O51" s="321">
        <v>0</v>
      </c>
      <c r="P51" s="197">
        <v>4740</v>
      </c>
      <c r="Q51" s="322">
        <v>0</v>
      </c>
      <c r="R51" s="322">
        <v>0</v>
      </c>
      <c r="S51" s="322">
        <v>0</v>
      </c>
      <c r="T51" s="322">
        <v>2751</v>
      </c>
      <c r="U51" s="322">
        <v>0</v>
      </c>
      <c r="V51" s="322">
        <v>0</v>
      </c>
      <c r="W51" s="322">
        <f>811+815+818+753+654+670</f>
        <v>4521</v>
      </c>
      <c r="X51" s="322"/>
      <c r="Y51" s="322"/>
      <c r="Z51" s="322"/>
      <c r="AA51" s="322"/>
      <c r="AB51" s="322"/>
      <c r="AD51" s="322">
        <v>2100</v>
      </c>
      <c r="AE51" s="322"/>
      <c r="AF51" s="323"/>
      <c r="AG51" s="199">
        <f>SUM(B51:AF51)</f>
        <v>20020</v>
      </c>
      <c r="AH51" s="199">
        <f>AG51/1000</f>
        <v>20.02</v>
      </c>
    </row>
    <row r="52" spans="1:34">
      <c r="A52" s="197" t="s">
        <v>33</v>
      </c>
      <c r="B52" s="197">
        <v>0</v>
      </c>
      <c r="C52" s="197">
        <v>0</v>
      </c>
      <c r="D52" s="321">
        <v>0</v>
      </c>
      <c r="E52" s="321">
        <v>7371</v>
      </c>
      <c r="F52" s="321">
        <v>0</v>
      </c>
      <c r="G52" s="321">
        <v>0</v>
      </c>
      <c r="H52" s="321">
        <v>0</v>
      </c>
      <c r="I52" s="321">
        <v>0</v>
      </c>
      <c r="J52" s="321">
        <v>0</v>
      </c>
      <c r="K52" s="321">
        <v>0</v>
      </c>
      <c r="L52" s="321">
        <v>0</v>
      </c>
      <c r="M52" s="321">
        <v>0</v>
      </c>
      <c r="N52" s="321">
        <v>0</v>
      </c>
      <c r="O52" s="321">
        <v>0</v>
      </c>
      <c r="P52" s="322">
        <v>5695</v>
      </c>
      <c r="Q52" s="322">
        <v>0</v>
      </c>
      <c r="R52" s="322">
        <v>0</v>
      </c>
      <c r="S52" s="322">
        <v>0</v>
      </c>
      <c r="T52" s="322">
        <v>0</v>
      </c>
      <c r="U52" s="322">
        <v>0</v>
      </c>
      <c r="V52" s="322">
        <v>0</v>
      </c>
      <c r="W52" s="322">
        <f>1259+1029+872+733+824+1043</f>
        <v>5760</v>
      </c>
      <c r="X52" s="322"/>
      <c r="Y52" s="322"/>
      <c r="Z52" s="322"/>
      <c r="AA52" s="322"/>
      <c r="AB52" s="322"/>
      <c r="AC52" s="322"/>
      <c r="AD52" s="322"/>
      <c r="AE52" s="322"/>
      <c r="AF52" s="322"/>
      <c r="AG52" s="199">
        <f>SUM(B52:AF52)</f>
        <v>18826</v>
      </c>
      <c r="AH52" s="199">
        <f>AG52/1000</f>
        <v>18.826000000000001</v>
      </c>
    </row>
    <row r="53" spans="1:34">
      <c r="A53" s="197" t="s">
        <v>34</v>
      </c>
      <c r="AG53" s="199">
        <f>SUM(B53:AF53)</f>
        <v>0</v>
      </c>
      <c r="AH53" s="199">
        <f>AG53/1000</f>
        <v>0</v>
      </c>
    </row>
    <row r="54" spans="1:34">
      <c r="A54" s="198" t="s">
        <v>35</v>
      </c>
      <c r="B54" s="197">
        <f>SUM(B50:B53)</f>
        <v>0</v>
      </c>
      <c r="C54" s="197">
        <f>SUM(C50:C53)</f>
        <v>0</v>
      </c>
      <c r="D54" s="197">
        <f>SUM(D50:D53)</f>
        <v>0</v>
      </c>
      <c r="E54" s="197">
        <f t="shared" ref="E54:AF54" si="6">SUM(E50:E53)</f>
        <v>10749</v>
      </c>
      <c r="F54" s="197">
        <f t="shared" si="6"/>
        <v>0</v>
      </c>
      <c r="G54" s="197">
        <f t="shared" si="6"/>
        <v>0</v>
      </c>
      <c r="H54" s="197">
        <f t="shared" si="6"/>
        <v>0</v>
      </c>
      <c r="I54" s="197">
        <f t="shared" si="6"/>
        <v>0</v>
      </c>
      <c r="J54" s="197">
        <f t="shared" si="6"/>
        <v>0</v>
      </c>
      <c r="K54" s="197">
        <f t="shared" si="6"/>
        <v>0</v>
      </c>
      <c r="L54" s="197">
        <f t="shared" si="6"/>
        <v>0</v>
      </c>
      <c r="M54" s="197">
        <f t="shared" si="6"/>
        <v>0</v>
      </c>
      <c r="N54" s="197">
        <f t="shared" si="6"/>
        <v>2530</v>
      </c>
      <c r="O54" s="197">
        <f t="shared" si="6"/>
        <v>0</v>
      </c>
      <c r="P54" s="197">
        <f t="shared" si="6"/>
        <v>10435</v>
      </c>
      <c r="Q54" s="197">
        <f t="shared" si="6"/>
        <v>0</v>
      </c>
      <c r="R54" s="197">
        <f t="shared" si="6"/>
        <v>0</v>
      </c>
      <c r="S54" s="197">
        <f t="shared" si="6"/>
        <v>0</v>
      </c>
      <c r="T54" s="197">
        <f t="shared" si="6"/>
        <v>2751</v>
      </c>
      <c r="U54" s="197">
        <f t="shared" si="6"/>
        <v>0</v>
      </c>
      <c r="V54" s="197">
        <f t="shared" si="6"/>
        <v>0</v>
      </c>
      <c r="W54" s="197">
        <f t="shared" si="6"/>
        <v>10281</v>
      </c>
      <c r="X54" s="197">
        <f t="shared" si="6"/>
        <v>0</v>
      </c>
      <c r="Y54" s="197">
        <f t="shared" si="6"/>
        <v>0</v>
      </c>
      <c r="Z54" s="197">
        <f t="shared" si="6"/>
        <v>0</v>
      </c>
      <c r="AA54" s="197">
        <f t="shared" si="6"/>
        <v>0</v>
      </c>
      <c r="AB54" s="197">
        <f t="shared" si="6"/>
        <v>0</v>
      </c>
      <c r="AC54" s="197">
        <f t="shared" si="6"/>
        <v>0</v>
      </c>
      <c r="AD54" s="197">
        <f t="shared" si="6"/>
        <v>2100</v>
      </c>
      <c r="AE54" s="197">
        <f t="shared" si="6"/>
        <v>0</v>
      </c>
      <c r="AF54" s="197">
        <f t="shared" si="6"/>
        <v>0</v>
      </c>
      <c r="AG54" s="199">
        <f>SUM(B54:AF54)</f>
        <v>38846</v>
      </c>
    </row>
    <row r="57" spans="1:34">
      <c r="A57" s="203" t="s">
        <v>45</v>
      </c>
      <c r="B57" s="203">
        <v>1</v>
      </c>
      <c r="C57" s="203">
        <v>2</v>
      </c>
      <c r="D57" s="203">
        <v>3</v>
      </c>
      <c r="E57" s="203">
        <v>4</v>
      </c>
      <c r="F57" s="203">
        <v>5</v>
      </c>
      <c r="G57" s="203">
        <v>6</v>
      </c>
      <c r="H57" s="203">
        <v>7</v>
      </c>
      <c r="I57" s="203">
        <v>8</v>
      </c>
      <c r="J57" s="203">
        <v>9</v>
      </c>
      <c r="K57" s="203">
        <v>10</v>
      </c>
      <c r="L57" s="203">
        <v>11</v>
      </c>
      <c r="M57" s="203">
        <v>12</v>
      </c>
      <c r="N57" s="203">
        <v>13</v>
      </c>
      <c r="O57" s="203">
        <v>14</v>
      </c>
      <c r="P57" s="203">
        <v>15</v>
      </c>
      <c r="Q57" s="203">
        <v>16</v>
      </c>
      <c r="R57" s="203">
        <v>17</v>
      </c>
      <c r="S57" s="203">
        <v>18</v>
      </c>
      <c r="T57" s="203">
        <v>19</v>
      </c>
      <c r="U57" s="203">
        <v>20</v>
      </c>
      <c r="V57" s="203">
        <v>21</v>
      </c>
      <c r="W57" s="203">
        <v>22</v>
      </c>
      <c r="X57" s="203">
        <v>23</v>
      </c>
      <c r="Y57" s="203">
        <v>24</v>
      </c>
      <c r="Z57" s="203">
        <v>25</v>
      </c>
      <c r="AA57" s="203">
        <v>26</v>
      </c>
      <c r="AB57" s="203">
        <v>27</v>
      </c>
      <c r="AC57" s="203">
        <v>28</v>
      </c>
      <c r="AD57" s="203">
        <v>29</v>
      </c>
      <c r="AE57" s="203">
        <v>30</v>
      </c>
      <c r="AF57" s="203">
        <v>31</v>
      </c>
      <c r="AG57" s="199" t="s">
        <v>10</v>
      </c>
    </row>
    <row r="58" spans="1:34">
      <c r="A58" s="199" t="s">
        <v>45</v>
      </c>
      <c r="AG58" s="199" t="s">
        <v>37</v>
      </c>
      <c r="AH58" s="199" t="s">
        <v>38</v>
      </c>
    </row>
    <row r="59" spans="1:34">
      <c r="A59" s="197" t="s">
        <v>32</v>
      </c>
      <c r="B59" s="197">
        <v>1524</v>
      </c>
      <c r="C59" s="197">
        <v>0</v>
      </c>
      <c r="D59" s="197">
        <v>0</v>
      </c>
      <c r="E59" s="197">
        <v>5010</v>
      </c>
      <c r="F59" s="197">
        <v>2618</v>
      </c>
      <c r="G59" s="197">
        <v>0</v>
      </c>
      <c r="H59" s="197">
        <v>0</v>
      </c>
      <c r="I59" s="197">
        <v>0</v>
      </c>
      <c r="J59" s="197">
        <v>1490</v>
      </c>
      <c r="K59" s="197">
        <v>0</v>
      </c>
      <c r="L59" s="197">
        <v>0</v>
      </c>
      <c r="M59" s="197">
        <v>1185</v>
      </c>
      <c r="N59" s="197">
        <v>0</v>
      </c>
      <c r="O59" s="197">
        <v>0</v>
      </c>
      <c r="P59" s="197">
        <v>0</v>
      </c>
      <c r="Q59" s="197">
        <v>0</v>
      </c>
      <c r="R59" s="197">
        <v>0</v>
      </c>
      <c r="S59" s="197">
        <v>0</v>
      </c>
      <c r="T59" s="197">
        <v>2673</v>
      </c>
      <c r="U59" s="197">
        <v>0</v>
      </c>
      <c r="V59" s="197">
        <v>0</v>
      </c>
      <c r="W59" s="197">
        <v>1302</v>
      </c>
      <c r="X59" s="197">
        <v>320</v>
      </c>
      <c r="Y59" s="197">
        <v>0</v>
      </c>
      <c r="Z59" s="197">
        <v>3627</v>
      </c>
      <c r="AA59" s="197">
        <v>0</v>
      </c>
      <c r="AB59" s="197">
        <v>0</v>
      </c>
      <c r="AC59" s="197">
        <v>0</v>
      </c>
      <c r="AD59" s="197">
        <v>4043</v>
      </c>
      <c r="AE59" s="197">
        <v>0</v>
      </c>
      <c r="AG59" s="199">
        <f>SUM(B59:AF59)</f>
        <v>23792</v>
      </c>
      <c r="AH59" s="199">
        <f>AG59/1000</f>
        <v>23.792000000000002</v>
      </c>
    </row>
    <row r="60" spans="1:34">
      <c r="A60" s="197" t="s">
        <v>33</v>
      </c>
      <c r="B60" s="197">
        <v>9213</v>
      </c>
      <c r="C60" s="197">
        <v>0</v>
      </c>
      <c r="D60" s="197">
        <v>0</v>
      </c>
      <c r="E60" s="197">
        <v>0</v>
      </c>
      <c r="F60" s="197">
        <v>6604</v>
      </c>
      <c r="G60" s="197">
        <v>0</v>
      </c>
      <c r="H60" s="197">
        <v>0</v>
      </c>
      <c r="I60" s="197">
        <v>0</v>
      </c>
      <c r="J60" s="197">
        <v>0</v>
      </c>
      <c r="K60" s="197">
        <v>0</v>
      </c>
      <c r="L60" s="197">
        <v>0</v>
      </c>
      <c r="M60" s="197">
        <v>7773</v>
      </c>
      <c r="N60" s="197">
        <v>0</v>
      </c>
      <c r="O60" s="197">
        <v>0</v>
      </c>
      <c r="P60" s="197">
        <v>0</v>
      </c>
      <c r="Q60" s="197">
        <v>0</v>
      </c>
      <c r="R60" s="197">
        <v>0</v>
      </c>
      <c r="S60" s="197">
        <v>0</v>
      </c>
      <c r="T60" s="197">
        <v>0</v>
      </c>
      <c r="U60" s="197">
        <v>0</v>
      </c>
      <c r="V60" s="197">
        <v>0</v>
      </c>
      <c r="W60" s="197">
        <v>8282</v>
      </c>
      <c r="X60" s="197">
        <v>0</v>
      </c>
      <c r="Y60" s="197">
        <v>0</v>
      </c>
      <c r="Z60" s="197">
        <v>0</v>
      </c>
      <c r="AA60" s="197">
        <v>0</v>
      </c>
      <c r="AB60" s="197">
        <v>0</v>
      </c>
      <c r="AC60" s="197">
        <v>0</v>
      </c>
      <c r="AD60" s="197">
        <v>5499</v>
      </c>
      <c r="AE60" s="197">
        <v>0</v>
      </c>
      <c r="AG60" s="199">
        <f>SUM(B60:AF60)</f>
        <v>37371</v>
      </c>
      <c r="AH60" s="199">
        <f>AG60/1000</f>
        <v>37.371000000000002</v>
      </c>
    </row>
    <row r="61" spans="1:34">
      <c r="A61" s="197" t="s">
        <v>34</v>
      </c>
      <c r="AG61" s="199">
        <f>SUM(B61:AF61)</f>
        <v>0</v>
      </c>
      <c r="AH61" s="199">
        <f>AG61/1000</f>
        <v>0</v>
      </c>
    </row>
    <row r="62" spans="1:34">
      <c r="A62" s="198" t="s">
        <v>35</v>
      </c>
      <c r="B62" s="197">
        <f>SUM(B58:B61)</f>
        <v>10737</v>
      </c>
      <c r="C62" s="197">
        <f>SUM(C58:C61)</f>
        <v>0</v>
      </c>
      <c r="D62" s="197">
        <f t="shared" ref="D62:AF62" si="7">SUM(D58:D61)</f>
        <v>0</v>
      </c>
      <c r="E62" s="197">
        <f t="shared" si="7"/>
        <v>5010</v>
      </c>
      <c r="F62" s="197">
        <f t="shared" si="7"/>
        <v>9222</v>
      </c>
      <c r="G62" s="197">
        <f t="shared" si="7"/>
        <v>0</v>
      </c>
      <c r="H62" s="197">
        <f t="shared" si="7"/>
        <v>0</v>
      </c>
      <c r="I62" s="197">
        <f t="shared" si="7"/>
        <v>0</v>
      </c>
      <c r="J62" s="197">
        <f t="shared" si="7"/>
        <v>1490</v>
      </c>
      <c r="K62" s="197">
        <f t="shared" si="7"/>
        <v>0</v>
      </c>
      <c r="L62" s="197">
        <f t="shared" si="7"/>
        <v>0</v>
      </c>
      <c r="M62" s="197">
        <f t="shared" si="7"/>
        <v>8958</v>
      </c>
      <c r="N62" s="197">
        <f t="shared" si="7"/>
        <v>0</v>
      </c>
      <c r="O62" s="197">
        <f t="shared" si="7"/>
        <v>0</v>
      </c>
      <c r="P62" s="197">
        <f t="shared" si="7"/>
        <v>0</v>
      </c>
      <c r="Q62" s="197">
        <f t="shared" si="7"/>
        <v>0</v>
      </c>
      <c r="R62" s="197">
        <f t="shared" si="7"/>
        <v>0</v>
      </c>
      <c r="S62" s="197">
        <f t="shared" si="7"/>
        <v>0</v>
      </c>
      <c r="T62" s="197">
        <f t="shared" si="7"/>
        <v>2673</v>
      </c>
      <c r="U62" s="197">
        <f t="shared" si="7"/>
        <v>0</v>
      </c>
      <c r="V62" s="197">
        <f t="shared" si="7"/>
        <v>0</v>
      </c>
      <c r="W62" s="197">
        <f t="shared" si="7"/>
        <v>9584</v>
      </c>
      <c r="X62" s="197">
        <f t="shared" si="7"/>
        <v>320</v>
      </c>
      <c r="Y62" s="197">
        <f t="shared" si="7"/>
        <v>0</v>
      </c>
      <c r="Z62" s="197">
        <f t="shared" si="7"/>
        <v>3627</v>
      </c>
      <c r="AA62" s="197">
        <f t="shared" si="7"/>
        <v>0</v>
      </c>
      <c r="AB62" s="197">
        <f t="shared" si="7"/>
        <v>0</v>
      </c>
      <c r="AC62" s="197">
        <f t="shared" si="7"/>
        <v>0</v>
      </c>
      <c r="AD62" s="197">
        <f t="shared" si="7"/>
        <v>9542</v>
      </c>
      <c r="AE62" s="197">
        <f t="shared" si="7"/>
        <v>0</v>
      </c>
      <c r="AF62" s="197">
        <f t="shared" si="7"/>
        <v>0</v>
      </c>
    </row>
    <row r="63" spans="1:34">
      <c r="U63" s="199"/>
    </row>
    <row r="65" spans="1:34">
      <c r="A65" s="208" t="s">
        <v>46</v>
      </c>
      <c r="B65" s="208">
        <v>1</v>
      </c>
      <c r="C65" s="208">
        <v>2</v>
      </c>
      <c r="D65" s="208">
        <v>3</v>
      </c>
      <c r="E65" s="208">
        <v>4</v>
      </c>
      <c r="F65" s="208">
        <v>5</v>
      </c>
      <c r="G65" s="208">
        <v>6</v>
      </c>
      <c r="H65" s="208">
        <v>7</v>
      </c>
      <c r="I65" s="208">
        <v>8</v>
      </c>
      <c r="J65" s="208">
        <v>9</v>
      </c>
      <c r="K65" s="208">
        <v>10</v>
      </c>
      <c r="L65" s="208">
        <v>11</v>
      </c>
      <c r="M65" s="208">
        <v>12</v>
      </c>
      <c r="N65" s="208">
        <v>13</v>
      </c>
      <c r="O65" s="208">
        <v>14</v>
      </c>
      <c r="P65" s="208">
        <v>15</v>
      </c>
      <c r="Q65" s="208">
        <v>16</v>
      </c>
      <c r="R65" s="208">
        <v>17</v>
      </c>
      <c r="S65" s="208">
        <v>18</v>
      </c>
      <c r="T65" s="208">
        <v>19</v>
      </c>
      <c r="U65" s="208">
        <v>20</v>
      </c>
      <c r="V65" s="208">
        <v>21</v>
      </c>
      <c r="W65" s="208">
        <v>22</v>
      </c>
      <c r="X65" s="208">
        <v>23</v>
      </c>
      <c r="Y65" s="208">
        <v>24</v>
      </c>
      <c r="Z65" s="208">
        <v>25</v>
      </c>
      <c r="AA65" s="208">
        <v>26</v>
      </c>
      <c r="AB65" s="208">
        <v>27</v>
      </c>
      <c r="AC65" s="208">
        <v>28</v>
      </c>
      <c r="AD65" s="208">
        <v>29</v>
      </c>
      <c r="AE65" s="208">
        <v>30</v>
      </c>
      <c r="AF65" s="208"/>
      <c r="AG65" s="199" t="s">
        <v>10</v>
      </c>
    </row>
    <row r="66" spans="1:34">
      <c r="A66" s="199" t="s">
        <v>46</v>
      </c>
      <c r="AG66" s="199" t="s">
        <v>37</v>
      </c>
      <c r="AH66" s="199" t="s">
        <v>38</v>
      </c>
    </row>
    <row r="67" spans="1:34">
      <c r="A67" s="197" t="s">
        <v>32</v>
      </c>
      <c r="B67" s="197">
        <v>0</v>
      </c>
      <c r="C67" s="197">
        <v>0</v>
      </c>
      <c r="D67" s="197">
        <v>5680</v>
      </c>
      <c r="E67" s="197">
        <v>0</v>
      </c>
      <c r="F67" s="197">
        <v>0</v>
      </c>
      <c r="G67" s="197">
        <v>1555</v>
      </c>
      <c r="H67" s="197">
        <v>0</v>
      </c>
      <c r="I67" s="197">
        <v>0</v>
      </c>
      <c r="J67" s="197">
        <v>2450</v>
      </c>
      <c r="K67" s="197">
        <v>0</v>
      </c>
      <c r="L67" s="197">
        <v>0</v>
      </c>
      <c r="M67" s="197">
        <v>0</v>
      </c>
      <c r="N67" s="197">
        <f>SUM(3610+3141)</f>
        <v>6751</v>
      </c>
      <c r="O67" s="197">
        <v>0</v>
      </c>
      <c r="P67" s="197">
        <v>3118</v>
      </c>
      <c r="AG67" s="199">
        <f>SUM(B67:AF67)</f>
        <v>19554</v>
      </c>
      <c r="AH67" s="199">
        <f>AG67/1000</f>
        <v>19.553999999999998</v>
      </c>
    </row>
    <row r="68" spans="1:34">
      <c r="A68" s="197" t="s">
        <v>33</v>
      </c>
      <c r="B68" s="197">
        <v>0</v>
      </c>
      <c r="C68" s="197">
        <v>0</v>
      </c>
      <c r="D68" s="197">
        <v>0</v>
      </c>
      <c r="E68" s="197">
        <v>0</v>
      </c>
      <c r="F68" s="197">
        <v>0</v>
      </c>
      <c r="G68" s="197">
        <v>8285</v>
      </c>
      <c r="H68" s="197">
        <v>0</v>
      </c>
      <c r="I68" s="197">
        <v>0</v>
      </c>
      <c r="J68" s="197">
        <v>0</v>
      </c>
      <c r="K68" s="197">
        <v>0</v>
      </c>
      <c r="L68" s="197">
        <v>0</v>
      </c>
      <c r="M68" s="197">
        <v>0</v>
      </c>
      <c r="N68" s="197">
        <v>6034</v>
      </c>
      <c r="O68" s="197">
        <v>0</v>
      </c>
      <c r="P68" s="197">
        <v>5939</v>
      </c>
      <c r="AG68" s="199">
        <f>SUM(B68:AF68)</f>
        <v>20258</v>
      </c>
      <c r="AH68" s="199">
        <f>AG68/1000</f>
        <v>20.257999999999999</v>
      </c>
    </row>
    <row r="69" spans="1:34">
      <c r="A69" s="197" t="s">
        <v>34</v>
      </c>
      <c r="B69" s="197">
        <v>0</v>
      </c>
      <c r="C69" s="197">
        <v>0</v>
      </c>
      <c r="D69" s="197">
        <v>0</v>
      </c>
      <c r="E69" s="197">
        <v>0</v>
      </c>
      <c r="F69" s="197">
        <v>0</v>
      </c>
      <c r="G69" s="197">
        <v>0</v>
      </c>
      <c r="H69" s="197">
        <v>0</v>
      </c>
      <c r="I69" s="197">
        <v>0</v>
      </c>
      <c r="J69" s="197">
        <v>0</v>
      </c>
      <c r="K69" s="197">
        <v>0</v>
      </c>
      <c r="L69" s="197">
        <v>0</v>
      </c>
      <c r="AG69" s="199">
        <f>SUM(B69:AF69)</f>
        <v>0</v>
      </c>
      <c r="AH69" s="199">
        <f>AG69/1000</f>
        <v>0</v>
      </c>
    </row>
    <row r="70" spans="1:34">
      <c r="A70" s="198" t="s">
        <v>35</v>
      </c>
      <c r="B70" s="197">
        <f>SUM(B66:B69)</f>
        <v>0</v>
      </c>
      <c r="C70" s="197">
        <f>SUM(C66:C69)</f>
        <v>0</v>
      </c>
      <c r="D70" s="197">
        <f t="shared" ref="D70:AE70" si="8">SUM(D66:D69)</f>
        <v>5680</v>
      </c>
      <c r="E70" s="197">
        <f t="shared" si="8"/>
        <v>0</v>
      </c>
      <c r="F70" s="197">
        <f t="shared" si="8"/>
        <v>0</v>
      </c>
      <c r="G70" s="197">
        <f t="shared" si="8"/>
        <v>9840</v>
      </c>
      <c r="H70" s="197">
        <f t="shared" si="8"/>
        <v>0</v>
      </c>
      <c r="I70" s="197">
        <f t="shared" si="8"/>
        <v>0</v>
      </c>
      <c r="J70" s="197">
        <f t="shared" si="8"/>
        <v>2450</v>
      </c>
      <c r="K70" s="197">
        <f t="shared" si="8"/>
        <v>0</v>
      </c>
      <c r="L70" s="197">
        <f t="shared" si="8"/>
        <v>0</v>
      </c>
      <c r="M70" s="197">
        <f t="shared" si="8"/>
        <v>0</v>
      </c>
      <c r="N70" s="197">
        <f t="shared" si="8"/>
        <v>12785</v>
      </c>
      <c r="O70" s="197">
        <f t="shared" si="8"/>
        <v>0</v>
      </c>
      <c r="P70" s="197">
        <f t="shared" si="8"/>
        <v>9057</v>
      </c>
      <c r="Q70" s="197">
        <f t="shared" si="8"/>
        <v>0</v>
      </c>
      <c r="R70" s="197">
        <f t="shared" si="8"/>
        <v>0</v>
      </c>
      <c r="S70" s="197">
        <f t="shared" si="8"/>
        <v>0</v>
      </c>
      <c r="T70" s="197">
        <f t="shared" si="8"/>
        <v>0</v>
      </c>
      <c r="U70" s="197">
        <f t="shared" si="8"/>
        <v>0</v>
      </c>
      <c r="V70" s="197">
        <f t="shared" si="8"/>
        <v>0</v>
      </c>
      <c r="W70" s="197">
        <f t="shared" si="8"/>
        <v>0</v>
      </c>
      <c r="X70" s="197">
        <f t="shared" si="8"/>
        <v>0</v>
      </c>
      <c r="Y70" s="197">
        <f t="shared" si="8"/>
        <v>0</v>
      </c>
      <c r="Z70" s="197">
        <f t="shared" si="8"/>
        <v>0</v>
      </c>
      <c r="AA70" s="197">
        <f t="shared" si="8"/>
        <v>0</v>
      </c>
      <c r="AB70" s="197">
        <f t="shared" si="8"/>
        <v>0</v>
      </c>
      <c r="AC70" s="197">
        <f t="shared" si="8"/>
        <v>0</v>
      </c>
      <c r="AD70" s="197">
        <f t="shared" si="8"/>
        <v>0</v>
      </c>
      <c r="AE70" s="197">
        <f t="shared" si="8"/>
        <v>0</v>
      </c>
    </row>
    <row r="72" spans="1:34">
      <c r="A72" s="211" t="s">
        <v>47</v>
      </c>
      <c r="B72" s="211">
        <v>1</v>
      </c>
      <c r="C72" s="211">
        <v>2</v>
      </c>
      <c r="D72" s="211">
        <v>3</v>
      </c>
      <c r="E72" s="211">
        <v>4</v>
      </c>
      <c r="F72" s="211">
        <v>5</v>
      </c>
      <c r="G72" s="211">
        <v>6</v>
      </c>
      <c r="H72" s="211">
        <v>7</v>
      </c>
      <c r="I72" s="211">
        <v>8</v>
      </c>
      <c r="J72" s="211">
        <v>9</v>
      </c>
      <c r="K72" s="211">
        <v>10</v>
      </c>
      <c r="L72" s="211">
        <v>11</v>
      </c>
      <c r="M72" s="211">
        <v>12</v>
      </c>
      <c r="N72" s="211">
        <v>13</v>
      </c>
      <c r="O72" s="211">
        <v>14</v>
      </c>
      <c r="P72" s="211">
        <v>15</v>
      </c>
      <c r="Q72" s="211">
        <v>16</v>
      </c>
      <c r="R72" s="211">
        <v>17</v>
      </c>
      <c r="S72" s="211">
        <v>18</v>
      </c>
      <c r="T72" s="211">
        <v>19</v>
      </c>
      <c r="U72" s="211">
        <v>20</v>
      </c>
      <c r="V72" s="211">
        <v>21</v>
      </c>
      <c r="W72" s="211">
        <v>22</v>
      </c>
      <c r="X72" s="211">
        <v>23</v>
      </c>
      <c r="Y72" s="211">
        <v>24</v>
      </c>
      <c r="Z72" s="211">
        <v>25</v>
      </c>
      <c r="AA72" s="211">
        <v>26</v>
      </c>
      <c r="AB72" s="211">
        <v>27</v>
      </c>
      <c r="AC72" s="211">
        <v>28</v>
      </c>
      <c r="AD72" s="211">
        <v>29</v>
      </c>
      <c r="AE72" s="211">
        <v>30</v>
      </c>
      <c r="AF72" s="211">
        <v>31</v>
      </c>
      <c r="AG72" s="199" t="s">
        <v>10</v>
      </c>
    </row>
    <row r="73" spans="1:34">
      <c r="A73" s="199" t="s">
        <v>47</v>
      </c>
      <c r="AG73" s="199" t="s">
        <v>37</v>
      </c>
      <c r="AH73" s="199" t="s">
        <v>38</v>
      </c>
    </row>
    <row r="74" spans="1:34">
      <c r="A74" s="197" t="s">
        <v>32</v>
      </c>
      <c r="AG74" s="199">
        <f>SUM(B74:AF74)</f>
        <v>0</v>
      </c>
      <c r="AH74" s="199">
        <f>AG74/1000</f>
        <v>0</v>
      </c>
    </row>
    <row r="75" spans="1:34">
      <c r="A75" s="197" t="s">
        <v>33</v>
      </c>
      <c r="AG75" s="199">
        <f>SUM(B75:AF75)</f>
        <v>0</v>
      </c>
      <c r="AH75" s="199">
        <f>AG75/1000</f>
        <v>0</v>
      </c>
    </row>
    <row r="76" spans="1:34">
      <c r="A76" s="197" t="s">
        <v>34</v>
      </c>
      <c r="AG76" s="199">
        <f>SUM(B76:AF76)</f>
        <v>0</v>
      </c>
      <c r="AH76" s="199">
        <f>AG76/1000</f>
        <v>0</v>
      </c>
    </row>
    <row r="77" spans="1:34">
      <c r="A77" s="198" t="s">
        <v>35</v>
      </c>
      <c r="B77" s="197">
        <f>SUM(B73:B76)</f>
        <v>0</v>
      </c>
      <c r="C77" s="197">
        <f>SUM(C73:C76)</f>
        <v>0</v>
      </c>
      <c r="D77" s="197">
        <f t="shared" ref="D77:AF77" si="9">SUM(D73:D76)</f>
        <v>0</v>
      </c>
      <c r="E77" s="197">
        <f t="shared" si="9"/>
        <v>0</v>
      </c>
      <c r="F77" s="197">
        <f t="shared" si="9"/>
        <v>0</v>
      </c>
      <c r="G77" s="197">
        <f t="shared" si="9"/>
        <v>0</v>
      </c>
      <c r="H77" s="197">
        <f t="shared" si="9"/>
        <v>0</v>
      </c>
      <c r="I77" s="197">
        <f t="shared" si="9"/>
        <v>0</v>
      </c>
      <c r="J77" s="197">
        <f t="shared" si="9"/>
        <v>0</v>
      </c>
      <c r="K77" s="197">
        <f t="shared" si="9"/>
        <v>0</v>
      </c>
      <c r="L77" s="197">
        <f t="shared" si="9"/>
        <v>0</v>
      </c>
      <c r="M77" s="197">
        <f t="shared" si="9"/>
        <v>0</v>
      </c>
      <c r="N77" s="197">
        <f t="shared" si="9"/>
        <v>0</v>
      </c>
      <c r="O77" s="197">
        <f t="shared" si="9"/>
        <v>0</v>
      </c>
      <c r="P77" s="197">
        <f t="shared" si="9"/>
        <v>0</v>
      </c>
      <c r="Q77" s="197">
        <f t="shared" si="9"/>
        <v>0</v>
      </c>
      <c r="R77" s="197">
        <f t="shared" si="9"/>
        <v>0</v>
      </c>
      <c r="S77" s="197">
        <f t="shared" si="9"/>
        <v>0</v>
      </c>
      <c r="T77" s="197">
        <f t="shared" si="9"/>
        <v>0</v>
      </c>
      <c r="U77" s="197">
        <f t="shared" si="9"/>
        <v>0</v>
      </c>
      <c r="V77" s="197">
        <f t="shared" si="9"/>
        <v>0</v>
      </c>
      <c r="W77" s="197">
        <f t="shared" si="9"/>
        <v>0</v>
      </c>
      <c r="X77" s="197">
        <f t="shared" si="9"/>
        <v>0</v>
      </c>
      <c r="Y77" s="197">
        <f t="shared" si="9"/>
        <v>0</v>
      </c>
      <c r="Z77" s="197">
        <f t="shared" si="9"/>
        <v>0</v>
      </c>
      <c r="AA77" s="197">
        <f t="shared" si="9"/>
        <v>0</v>
      </c>
      <c r="AB77" s="197">
        <f t="shared" si="9"/>
        <v>0</v>
      </c>
      <c r="AC77" s="197">
        <f t="shared" si="9"/>
        <v>0</v>
      </c>
      <c r="AD77" s="197">
        <f t="shared" si="9"/>
        <v>0</v>
      </c>
      <c r="AE77" s="197">
        <f t="shared" si="9"/>
        <v>0</v>
      </c>
      <c r="AF77" s="197">
        <f t="shared" si="9"/>
        <v>0</v>
      </c>
    </row>
    <row r="81" spans="1:34">
      <c r="A81" s="212" t="s">
        <v>48</v>
      </c>
      <c r="B81" s="212">
        <v>1</v>
      </c>
      <c r="C81" s="212">
        <v>2</v>
      </c>
      <c r="D81" s="212">
        <v>3</v>
      </c>
      <c r="E81" s="212">
        <v>4</v>
      </c>
      <c r="F81" s="212">
        <v>5</v>
      </c>
      <c r="G81" s="212">
        <v>6</v>
      </c>
      <c r="H81" s="212">
        <v>7</v>
      </c>
      <c r="I81" s="212">
        <v>8</v>
      </c>
      <c r="J81" s="212">
        <v>9</v>
      </c>
      <c r="K81" s="212">
        <v>10</v>
      </c>
      <c r="L81" s="212">
        <v>11</v>
      </c>
      <c r="M81" s="212">
        <v>12</v>
      </c>
      <c r="N81" s="212">
        <v>13</v>
      </c>
      <c r="O81" s="212">
        <v>14</v>
      </c>
      <c r="P81" s="212">
        <v>15</v>
      </c>
      <c r="Q81" s="212">
        <v>16</v>
      </c>
      <c r="R81" s="212">
        <v>17</v>
      </c>
      <c r="S81" s="212">
        <v>18</v>
      </c>
      <c r="T81" s="212">
        <v>19</v>
      </c>
      <c r="U81" s="212">
        <v>20</v>
      </c>
      <c r="V81" s="212">
        <v>21</v>
      </c>
      <c r="W81" s="212">
        <v>22</v>
      </c>
      <c r="X81" s="212">
        <v>23</v>
      </c>
      <c r="Y81" s="212">
        <v>24</v>
      </c>
      <c r="Z81" s="212">
        <v>25</v>
      </c>
      <c r="AA81" s="212">
        <v>26</v>
      </c>
      <c r="AB81" s="212">
        <v>27</v>
      </c>
      <c r="AC81" s="212">
        <v>28</v>
      </c>
      <c r="AD81" s="212">
        <v>29</v>
      </c>
      <c r="AE81" s="212">
        <v>30</v>
      </c>
      <c r="AF81" s="212"/>
      <c r="AG81" s="199" t="s">
        <v>10</v>
      </c>
    </row>
    <row r="82" spans="1:34">
      <c r="A82" s="199" t="s">
        <v>48</v>
      </c>
      <c r="AG82" s="199" t="s">
        <v>37</v>
      </c>
      <c r="AH82" s="199" t="s">
        <v>38</v>
      </c>
    </row>
    <row r="83" spans="1:34">
      <c r="A83" s="197" t="s">
        <v>32</v>
      </c>
      <c r="AG83" s="199">
        <f>SUM(B83:AF83)</f>
        <v>0</v>
      </c>
      <c r="AH83" s="199">
        <f>AG83/1000</f>
        <v>0</v>
      </c>
    </row>
    <row r="84" spans="1:34">
      <c r="A84" s="197" t="s">
        <v>33</v>
      </c>
      <c r="AG84" s="199">
        <f>SUM(B84:AF84)</f>
        <v>0</v>
      </c>
      <c r="AH84" s="199">
        <f>AG84/1000</f>
        <v>0</v>
      </c>
    </row>
    <row r="85" spans="1:34">
      <c r="A85" s="197" t="s">
        <v>34</v>
      </c>
      <c r="AG85" s="199">
        <f>SUM(B85:AF85)</f>
        <v>0</v>
      </c>
      <c r="AH85" s="199">
        <f>AG85/1000</f>
        <v>0</v>
      </c>
    </row>
    <row r="86" spans="1:34">
      <c r="A86" s="198" t="s">
        <v>35</v>
      </c>
      <c r="B86" s="197">
        <f>SUM(B82:B85)</f>
        <v>0</v>
      </c>
      <c r="C86" s="197">
        <f>SUM(C82:C85)</f>
        <v>0</v>
      </c>
      <c r="D86" s="197">
        <f t="shared" ref="D86:AE86" si="10">SUM(D82:D85)</f>
        <v>0</v>
      </c>
      <c r="E86" s="197">
        <f t="shared" si="10"/>
        <v>0</v>
      </c>
      <c r="F86" s="197">
        <f t="shared" si="10"/>
        <v>0</v>
      </c>
      <c r="G86" s="197">
        <f t="shared" si="10"/>
        <v>0</v>
      </c>
      <c r="H86" s="197">
        <f t="shared" si="10"/>
        <v>0</v>
      </c>
      <c r="I86" s="197">
        <f t="shared" si="10"/>
        <v>0</v>
      </c>
      <c r="J86" s="197">
        <f t="shared" si="10"/>
        <v>0</v>
      </c>
      <c r="K86" s="197">
        <f t="shared" si="10"/>
        <v>0</v>
      </c>
      <c r="L86" s="197">
        <f t="shared" si="10"/>
        <v>0</v>
      </c>
      <c r="M86" s="197">
        <f t="shared" si="10"/>
        <v>0</v>
      </c>
      <c r="N86" s="197">
        <f t="shared" si="10"/>
        <v>0</v>
      </c>
      <c r="O86" s="197">
        <f t="shared" si="10"/>
        <v>0</v>
      </c>
      <c r="P86" s="197">
        <f t="shared" si="10"/>
        <v>0</v>
      </c>
      <c r="Q86" s="197">
        <f t="shared" si="10"/>
        <v>0</v>
      </c>
      <c r="R86" s="197">
        <f t="shared" si="10"/>
        <v>0</v>
      </c>
      <c r="S86" s="197">
        <f t="shared" si="10"/>
        <v>0</v>
      </c>
      <c r="T86" s="197">
        <f t="shared" si="10"/>
        <v>0</v>
      </c>
      <c r="U86" s="197">
        <f t="shared" si="10"/>
        <v>0</v>
      </c>
      <c r="V86" s="197">
        <f t="shared" si="10"/>
        <v>0</v>
      </c>
      <c r="W86" s="197">
        <f t="shared" si="10"/>
        <v>0</v>
      </c>
      <c r="X86" s="197">
        <f t="shared" si="10"/>
        <v>0</v>
      </c>
      <c r="Y86" s="197">
        <f t="shared" si="10"/>
        <v>0</v>
      </c>
      <c r="Z86" s="197">
        <f t="shared" si="10"/>
        <v>0</v>
      </c>
      <c r="AA86" s="197">
        <f t="shared" si="10"/>
        <v>0</v>
      </c>
      <c r="AB86" s="197">
        <f t="shared" si="10"/>
        <v>0</v>
      </c>
      <c r="AC86" s="197">
        <f t="shared" si="10"/>
        <v>0</v>
      </c>
      <c r="AD86" s="197">
        <f t="shared" si="10"/>
        <v>0</v>
      </c>
      <c r="AE86" s="197">
        <f t="shared" si="10"/>
        <v>0</v>
      </c>
    </row>
    <row r="89" spans="1:34">
      <c r="A89" s="213" t="s">
        <v>49</v>
      </c>
      <c r="B89" s="208">
        <v>1</v>
      </c>
      <c r="C89" s="208">
        <v>2</v>
      </c>
      <c r="D89" s="208">
        <v>3</v>
      </c>
      <c r="E89" s="208">
        <v>4</v>
      </c>
      <c r="F89" s="208">
        <v>5</v>
      </c>
      <c r="G89" s="208">
        <v>6</v>
      </c>
      <c r="H89" s="208">
        <v>7</v>
      </c>
      <c r="I89" s="208">
        <v>8</v>
      </c>
      <c r="J89" s="208">
        <v>9</v>
      </c>
      <c r="K89" s="208">
        <v>10</v>
      </c>
      <c r="L89" s="208">
        <v>11</v>
      </c>
      <c r="M89" s="208">
        <v>12</v>
      </c>
      <c r="N89" s="208">
        <v>13</v>
      </c>
      <c r="O89" s="208">
        <v>14</v>
      </c>
      <c r="P89" s="208">
        <v>15</v>
      </c>
      <c r="Q89" s="208">
        <v>16</v>
      </c>
      <c r="R89" s="208">
        <v>17</v>
      </c>
      <c r="S89" s="208">
        <v>18</v>
      </c>
      <c r="T89" s="208">
        <v>19</v>
      </c>
      <c r="U89" s="208">
        <v>20</v>
      </c>
      <c r="V89" s="208">
        <v>21</v>
      </c>
      <c r="W89" s="208">
        <v>22</v>
      </c>
      <c r="X89" s="208">
        <v>23</v>
      </c>
      <c r="Y89" s="208">
        <v>24</v>
      </c>
      <c r="Z89" s="208">
        <v>25</v>
      </c>
      <c r="AA89" s="208">
        <v>26</v>
      </c>
      <c r="AB89" s="208">
        <v>27</v>
      </c>
      <c r="AC89" s="208">
        <v>28</v>
      </c>
      <c r="AD89" s="208">
        <v>29</v>
      </c>
      <c r="AE89" s="208">
        <v>30</v>
      </c>
      <c r="AF89" s="208">
        <v>31</v>
      </c>
      <c r="AG89" s="199" t="s">
        <v>10</v>
      </c>
    </row>
    <row r="90" spans="1:34">
      <c r="A90" s="199" t="s">
        <v>49</v>
      </c>
      <c r="AG90" s="199" t="s">
        <v>37</v>
      </c>
      <c r="AH90" s="199" t="s">
        <v>38</v>
      </c>
    </row>
    <row r="91" spans="1:34">
      <c r="A91" s="197" t="s">
        <v>32</v>
      </c>
      <c r="AG91" s="199">
        <f>SUM(B91:AF91)</f>
        <v>0</v>
      </c>
      <c r="AH91" s="199">
        <f>AG91/1000</f>
        <v>0</v>
      </c>
    </row>
    <row r="92" spans="1:34">
      <c r="A92" s="197" t="s">
        <v>33</v>
      </c>
      <c r="AG92" s="199">
        <f>SUM(B92:AF92)</f>
        <v>0</v>
      </c>
      <c r="AH92" s="199">
        <f>AG92/1000</f>
        <v>0</v>
      </c>
    </row>
    <row r="93" spans="1:34">
      <c r="A93" s="197" t="s">
        <v>34</v>
      </c>
      <c r="AG93" s="199">
        <f>SUM(B93:AF93)</f>
        <v>0</v>
      </c>
      <c r="AH93" s="199">
        <f>AG93/1000</f>
        <v>0</v>
      </c>
    </row>
    <row r="94" spans="1:34">
      <c r="A94" s="198" t="s">
        <v>35</v>
      </c>
      <c r="B94" s="197">
        <f>SUM(B90:B93)</f>
        <v>0</v>
      </c>
      <c r="C94" s="197">
        <f>SUM(C90:C93)</f>
        <v>0</v>
      </c>
      <c r="D94" s="197">
        <f t="shared" ref="D94:AF94" si="11">SUM(D90:D93)</f>
        <v>0</v>
      </c>
      <c r="E94" s="197">
        <f t="shared" si="11"/>
        <v>0</v>
      </c>
      <c r="F94" s="197">
        <f t="shared" si="11"/>
        <v>0</v>
      </c>
      <c r="G94" s="197">
        <f t="shared" si="11"/>
        <v>0</v>
      </c>
      <c r="H94" s="197">
        <f t="shared" si="11"/>
        <v>0</v>
      </c>
      <c r="I94" s="197">
        <f t="shared" si="11"/>
        <v>0</v>
      </c>
      <c r="J94" s="197">
        <f t="shared" si="11"/>
        <v>0</v>
      </c>
      <c r="K94" s="197">
        <f t="shared" si="11"/>
        <v>0</v>
      </c>
      <c r="L94" s="197">
        <f t="shared" si="11"/>
        <v>0</v>
      </c>
      <c r="M94" s="197">
        <f t="shared" si="11"/>
        <v>0</v>
      </c>
      <c r="N94" s="197">
        <f t="shared" si="11"/>
        <v>0</v>
      </c>
      <c r="O94" s="197">
        <f t="shared" si="11"/>
        <v>0</v>
      </c>
      <c r="P94" s="197">
        <f t="shared" si="11"/>
        <v>0</v>
      </c>
      <c r="Q94" s="197">
        <f t="shared" si="11"/>
        <v>0</v>
      </c>
      <c r="R94" s="197">
        <f t="shared" si="11"/>
        <v>0</v>
      </c>
      <c r="S94" s="197">
        <f t="shared" si="11"/>
        <v>0</v>
      </c>
      <c r="T94" s="197">
        <f t="shared" si="11"/>
        <v>0</v>
      </c>
      <c r="U94" s="197">
        <f t="shared" si="11"/>
        <v>0</v>
      </c>
      <c r="V94" s="197">
        <f t="shared" si="11"/>
        <v>0</v>
      </c>
      <c r="W94" s="197">
        <f t="shared" si="11"/>
        <v>0</v>
      </c>
      <c r="X94" s="197">
        <f t="shared" si="11"/>
        <v>0</v>
      </c>
      <c r="Y94" s="197">
        <f t="shared" si="11"/>
        <v>0</v>
      </c>
      <c r="Z94" s="197">
        <f t="shared" si="11"/>
        <v>0</v>
      </c>
      <c r="AA94" s="197">
        <f t="shared" si="11"/>
        <v>0</v>
      </c>
      <c r="AB94" s="197">
        <f t="shared" si="11"/>
        <v>0</v>
      </c>
      <c r="AC94" s="197">
        <f t="shared" si="11"/>
        <v>0</v>
      </c>
      <c r="AD94" s="197">
        <f t="shared" si="11"/>
        <v>0</v>
      </c>
      <c r="AE94" s="197">
        <f t="shared" si="11"/>
        <v>0</v>
      </c>
      <c r="AF94" s="197">
        <f t="shared" si="11"/>
        <v>0</v>
      </c>
    </row>
  </sheetData>
  <pageMargins left="0.7" right="0.7" top="0.75" bottom="0.75" header="0.3" footer="0.3"/>
  <pageSetup paperSize="9" fitToWidth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111"/>
  <sheetViews>
    <sheetView showGridLines="0" topLeftCell="A68" zoomScale="90" zoomScaleNormal="90" workbookViewId="0">
      <pane xSplit="1" topLeftCell="C1" activePane="topRight" state="frozen"/>
      <selection pane="topRight" activeCell="V83" sqref="V83"/>
    </sheetView>
  </sheetViews>
  <sheetFormatPr defaultColWidth="9.140625" defaultRowHeight="15"/>
  <cols>
    <col min="1" max="1" width="21.85546875" customWidth="1"/>
    <col min="2" max="2" width="14.5703125" customWidth="1"/>
    <col min="3" max="9" width="10.140625" customWidth="1"/>
    <col min="10" max="10" width="14.5703125" customWidth="1"/>
    <col min="11" max="11" width="11.28515625" customWidth="1"/>
    <col min="12" max="17" width="10.140625" customWidth="1"/>
    <col min="18" max="18" width="14.5703125" customWidth="1"/>
    <col min="19" max="19" width="10.85546875" customWidth="1"/>
    <col min="20" max="21" width="10.140625" customWidth="1"/>
    <col min="22" max="22" width="12.7109375" customWidth="1"/>
    <col min="23" max="25" width="10.140625" customWidth="1"/>
    <col min="26" max="26" width="14.5703125" customWidth="1"/>
    <col min="27" max="27" width="10.140625" customWidth="1"/>
    <col min="28" max="28" width="11.42578125" customWidth="1"/>
    <col min="29" max="29" width="11.28515625" customWidth="1"/>
    <col min="30" max="30" width="10.5703125" customWidth="1"/>
    <col min="31" max="32" width="11.28515625" customWidth="1"/>
    <col min="33" max="33" width="10.42578125" customWidth="1"/>
    <col min="34" max="34" width="16.140625" customWidth="1"/>
    <col min="35" max="36" width="11.28515625" customWidth="1"/>
    <col min="37" max="37" width="11.5703125" customWidth="1"/>
    <col min="41" max="42" width="12.28515625" bestFit="1" customWidth="1"/>
    <col min="43" max="43" width="14.42578125" customWidth="1"/>
  </cols>
  <sheetData>
    <row r="1" spans="1:43">
      <c r="A1" s="299" t="s">
        <v>167</v>
      </c>
    </row>
    <row r="2" spans="1:43">
      <c r="A2" s="299" t="s">
        <v>168</v>
      </c>
    </row>
    <row r="3" spans="1:43">
      <c r="A3" s="151"/>
    </row>
    <row r="4" spans="1:43" ht="15.75" thickBot="1">
      <c r="A4" s="304" t="s">
        <v>1</v>
      </c>
      <c r="B4" s="163" t="s">
        <v>3</v>
      </c>
      <c r="C4" s="163" t="s">
        <v>4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2</v>
      </c>
      <c r="I4" s="163"/>
      <c r="J4" s="163" t="s">
        <v>3</v>
      </c>
      <c r="K4" s="163" t="s">
        <v>4</v>
      </c>
      <c r="L4" s="163" t="s">
        <v>4</v>
      </c>
      <c r="M4" s="163" t="s">
        <v>5</v>
      </c>
      <c r="N4" s="163" t="s">
        <v>6</v>
      </c>
      <c r="O4" s="163" t="s">
        <v>7</v>
      </c>
      <c r="P4" s="163" t="s">
        <v>2</v>
      </c>
      <c r="Q4" s="163"/>
      <c r="R4" s="163" t="s">
        <v>3</v>
      </c>
      <c r="S4" s="163" t="s">
        <v>4</v>
      </c>
      <c r="T4" s="163" t="s">
        <v>4</v>
      </c>
      <c r="U4" s="163" t="s">
        <v>5</v>
      </c>
      <c r="V4" s="163" t="s">
        <v>6</v>
      </c>
      <c r="W4" s="163" t="s">
        <v>7</v>
      </c>
      <c r="X4" s="163" t="s">
        <v>2</v>
      </c>
      <c r="Y4" s="163"/>
      <c r="Z4" s="163" t="s">
        <v>3</v>
      </c>
      <c r="AA4" s="163" t="s">
        <v>4</v>
      </c>
      <c r="AB4" s="163" t="s">
        <v>4</v>
      </c>
      <c r="AC4" s="163" t="s">
        <v>5</v>
      </c>
      <c r="AD4" s="163" t="s">
        <v>6</v>
      </c>
      <c r="AE4" s="163" t="s">
        <v>7</v>
      </c>
      <c r="AF4" s="163" t="s">
        <v>2</v>
      </c>
      <c r="AG4" s="163"/>
      <c r="AH4" s="163" t="s">
        <v>3</v>
      </c>
      <c r="AI4" s="163" t="s">
        <v>4</v>
      </c>
      <c r="AJ4" s="163" t="s">
        <v>4</v>
      </c>
      <c r="AK4" s="163" t="s">
        <v>5</v>
      </c>
      <c r="AL4" s="163" t="s">
        <v>6</v>
      </c>
      <c r="AM4" s="163" t="s">
        <v>7</v>
      </c>
      <c r="AN4" s="163" t="s">
        <v>2</v>
      </c>
      <c r="AO4" s="298" t="s">
        <v>3</v>
      </c>
      <c r="AP4" s="47"/>
    </row>
    <row r="5" spans="1:43" ht="15.75" thickBot="1">
      <c r="A5" s="164" t="s">
        <v>8</v>
      </c>
      <c r="B5" s="167"/>
      <c r="C5" s="168"/>
      <c r="D5" s="168"/>
      <c r="E5" s="168"/>
      <c r="F5" s="169"/>
      <c r="G5" s="169">
        <v>44562</v>
      </c>
      <c r="H5" s="169">
        <v>44563</v>
      </c>
      <c r="I5" s="166" t="s">
        <v>9</v>
      </c>
      <c r="J5" s="169">
        <v>44564</v>
      </c>
      <c r="K5" s="169">
        <v>44565</v>
      </c>
      <c r="L5" s="169">
        <v>44566</v>
      </c>
      <c r="M5" s="169">
        <v>44567</v>
      </c>
      <c r="N5" s="169">
        <v>44568</v>
      </c>
      <c r="O5" s="169">
        <v>44569</v>
      </c>
      <c r="P5" s="169">
        <v>44570</v>
      </c>
      <c r="Q5" s="166" t="s">
        <v>9</v>
      </c>
      <c r="R5" s="169">
        <v>44571</v>
      </c>
      <c r="S5" s="169">
        <v>44572</v>
      </c>
      <c r="T5" s="169">
        <v>44573</v>
      </c>
      <c r="U5" s="169">
        <v>44574</v>
      </c>
      <c r="V5" s="169">
        <v>44575</v>
      </c>
      <c r="W5" s="169">
        <v>44576</v>
      </c>
      <c r="X5" s="169">
        <v>44577</v>
      </c>
      <c r="Y5" s="166" t="s">
        <v>9</v>
      </c>
      <c r="Z5" s="169">
        <v>44578</v>
      </c>
      <c r="AA5" s="169">
        <v>44579</v>
      </c>
      <c r="AB5" s="169">
        <v>44580</v>
      </c>
      <c r="AC5" s="169">
        <v>44581</v>
      </c>
      <c r="AD5" s="169">
        <v>44582</v>
      </c>
      <c r="AE5" s="169">
        <v>44583</v>
      </c>
      <c r="AF5" s="169">
        <v>44584</v>
      </c>
      <c r="AG5" s="166" t="s">
        <v>9</v>
      </c>
      <c r="AH5" s="169">
        <v>44585</v>
      </c>
      <c r="AI5" s="169">
        <v>44586</v>
      </c>
      <c r="AJ5" s="169">
        <v>44587</v>
      </c>
      <c r="AK5" s="169">
        <v>44588</v>
      </c>
      <c r="AL5" s="169">
        <v>44589</v>
      </c>
      <c r="AM5" s="169">
        <v>44590</v>
      </c>
      <c r="AN5" s="169">
        <v>44591</v>
      </c>
      <c r="AO5" s="169">
        <v>44592</v>
      </c>
      <c r="AP5" s="166" t="s">
        <v>9</v>
      </c>
      <c r="AQ5" s="191" t="s">
        <v>10</v>
      </c>
    </row>
    <row r="6" spans="1:43">
      <c r="A6" s="170" t="s">
        <v>11</v>
      </c>
      <c r="B6" s="172"/>
      <c r="C6" s="173"/>
      <c r="D6" s="173"/>
      <c r="E6" s="173"/>
      <c r="F6" s="173"/>
      <c r="G6" s="173">
        <v>0</v>
      </c>
      <c r="H6" s="173">
        <v>0</v>
      </c>
      <c r="I6" s="185">
        <f>SUM(B6:H6)</f>
        <v>0</v>
      </c>
      <c r="J6" s="173">
        <v>64574</v>
      </c>
      <c r="K6" s="173">
        <v>33424</v>
      </c>
      <c r="L6" s="173">
        <v>72466</v>
      </c>
      <c r="M6" s="173">
        <v>95207</v>
      </c>
      <c r="N6" s="173">
        <v>0</v>
      </c>
      <c r="O6" s="173">
        <v>0</v>
      </c>
      <c r="P6" s="173">
        <v>0</v>
      </c>
      <c r="Q6" s="185">
        <f>SUM(J6:P6)</f>
        <v>265671</v>
      </c>
      <c r="R6" s="173">
        <v>75878</v>
      </c>
      <c r="S6" s="173">
        <v>129464</v>
      </c>
      <c r="T6" s="173">
        <v>113598</v>
      </c>
      <c r="U6" s="173">
        <v>66210</v>
      </c>
      <c r="V6" s="173">
        <v>58006</v>
      </c>
      <c r="W6" s="173">
        <v>108509</v>
      </c>
      <c r="X6" s="173">
        <v>37211</v>
      </c>
      <c r="Y6" s="185">
        <f>SUM(R6:X6)</f>
        <v>588876</v>
      </c>
      <c r="Z6" s="173">
        <v>0</v>
      </c>
      <c r="AA6" s="173">
        <v>82268</v>
      </c>
      <c r="AB6" s="173">
        <v>107099</v>
      </c>
      <c r="AC6" s="173">
        <v>92049</v>
      </c>
      <c r="AD6" s="173">
        <v>0</v>
      </c>
      <c r="AE6" s="173">
        <v>0</v>
      </c>
      <c r="AF6" s="173">
        <v>0</v>
      </c>
      <c r="AG6" s="185">
        <f>SUM(Z6:AF6)</f>
        <v>281416</v>
      </c>
      <c r="AH6" s="173">
        <v>37537</v>
      </c>
      <c r="AI6" s="173">
        <v>77377</v>
      </c>
      <c r="AJ6" s="173">
        <v>139216</v>
      </c>
      <c r="AK6" s="173">
        <v>54053</v>
      </c>
      <c r="AL6" s="173">
        <v>54273</v>
      </c>
      <c r="AM6" s="173">
        <v>0</v>
      </c>
      <c r="AN6" s="173">
        <v>0</v>
      </c>
      <c r="AO6" s="173">
        <v>73140</v>
      </c>
      <c r="AP6" s="185">
        <f>SUM(AH6:AO6)</f>
        <v>435596</v>
      </c>
      <c r="AQ6" s="192">
        <f>I6+Q6+Y6+AG6+AP6</f>
        <v>1571559</v>
      </c>
    </row>
    <row r="7" spans="1:43">
      <c r="A7" s="170" t="s">
        <v>12</v>
      </c>
      <c r="B7" s="172"/>
      <c r="C7" s="173"/>
      <c r="D7" s="173"/>
      <c r="E7" s="173"/>
      <c r="F7" s="173"/>
      <c r="G7" s="173"/>
      <c r="H7" s="173"/>
      <c r="I7" s="185">
        <f>SUM(B7:H7)</f>
        <v>0</v>
      </c>
      <c r="J7" s="173"/>
      <c r="K7" s="173"/>
      <c r="L7" s="173"/>
      <c r="M7" s="173"/>
      <c r="N7" s="173"/>
      <c r="O7" s="173"/>
      <c r="P7" s="173"/>
      <c r="Q7" s="185">
        <f>SUM(J7:P7)</f>
        <v>0</v>
      </c>
      <c r="R7" s="173"/>
      <c r="S7" s="173"/>
      <c r="T7" s="173"/>
      <c r="U7" s="173"/>
      <c r="V7" s="173"/>
      <c r="W7" s="173"/>
      <c r="X7" s="173"/>
      <c r="Y7" s="185">
        <f>SUM(R7:X7)</f>
        <v>0</v>
      </c>
      <c r="Z7" s="173"/>
      <c r="AA7" s="173"/>
      <c r="AB7" s="173"/>
      <c r="AC7" s="173"/>
      <c r="AD7" s="173"/>
      <c r="AE7" s="173"/>
      <c r="AF7" s="173"/>
      <c r="AG7" s="185">
        <f>SUM(Z7:AF7)</f>
        <v>0</v>
      </c>
      <c r="AH7" s="173"/>
      <c r="AI7" s="173"/>
      <c r="AJ7" s="173"/>
      <c r="AK7" s="173"/>
      <c r="AL7" s="173"/>
      <c r="AM7" s="173"/>
      <c r="AN7" s="173"/>
      <c r="AO7" s="173"/>
      <c r="AP7" s="185">
        <f>SUM(AH7:AN7)</f>
        <v>0</v>
      </c>
      <c r="AQ7" s="192">
        <f t="shared" ref="AQ7" si="0">I7+Q7+Y7+AG7+AP7</f>
        <v>0</v>
      </c>
    </row>
    <row r="8" spans="1:43" ht="15.75" thickBot="1">
      <c r="A8" s="174" t="s">
        <v>13</v>
      </c>
      <c r="B8" s="173"/>
      <c r="C8" s="173"/>
      <c r="D8" s="173"/>
      <c r="E8" s="173"/>
      <c r="F8" s="173"/>
      <c r="G8" s="173">
        <f>G11+G12</f>
        <v>0</v>
      </c>
      <c r="H8" s="173">
        <f>H11+H12</f>
        <v>0</v>
      </c>
      <c r="I8" s="185">
        <f>SUM(B8:H8)</f>
        <v>0</v>
      </c>
      <c r="J8" s="173">
        <f>J11+J12</f>
        <v>0</v>
      </c>
      <c r="K8" s="173">
        <f t="shared" ref="K8:P8" si="1">K11+K12</f>
        <v>18256</v>
      </c>
      <c r="L8" s="173">
        <f>L11+L12</f>
        <v>8606</v>
      </c>
      <c r="M8" s="173">
        <f t="shared" si="1"/>
        <v>8450</v>
      </c>
      <c r="N8" s="173">
        <f t="shared" si="1"/>
        <v>15726</v>
      </c>
      <c r="O8" s="173">
        <f t="shared" si="1"/>
        <v>0</v>
      </c>
      <c r="P8" s="173">
        <f t="shared" si="1"/>
        <v>0</v>
      </c>
      <c r="Q8" s="185">
        <f>SUM(J8:P8)</f>
        <v>51038</v>
      </c>
      <c r="R8" s="173">
        <f>R11+R12</f>
        <v>0</v>
      </c>
      <c r="S8" s="173">
        <f>S11+S12</f>
        <v>11400</v>
      </c>
      <c r="T8" s="173">
        <f t="shared" ref="T8:X8" si="2">T11+T12</f>
        <v>16787</v>
      </c>
      <c r="U8" s="173">
        <f>U11+U12</f>
        <v>17195</v>
      </c>
      <c r="V8" s="173">
        <f t="shared" si="2"/>
        <v>18125</v>
      </c>
      <c r="W8" s="173">
        <f t="shared" si="2"/>
        <v>7670</v>
      </c>
      <c r="X8" s="173">
        <f t="shared" si="2"/>
        <v>0</v>
      </c>
      <c r="Y8" s="185">
        <f>SUM(R8:X8)</f>
        <v>71177</v>
      </c>
      <c r="Z8" s="173">
        <f>Z11+Z12</f>
        <v>16402</v>
      </c>
      <c r="AA8" s="173">
        <f t="shared" ref="AA8:AF8" si="3">AA11+AA12</f>
        <v>0</v>
      </c>
      <c r="AB8" s="173">
        <f>AB11+AB12</f>
        <v>10320</v>
      </c>
      <c r="AC8" s="173">
        <f>AC11+AC12</f>
        <v>17754</v>
      </c>
      <c r="AD8" s="173">
        <f>AD11+AD12</f>
        <v>12484</v>
      </c>
      <c r="AE8" s="173">
        <f t="shared" si="3"/>
        <v>0</v>
      </c>
      <c r="AF8" s="173">
        <f t="shared" si="3"/>
        <v>0</v>
      </c>
      <c r="AG8" s="185">
        <f>SUM(Z8:AF8)</f>
        <v>56960</v>
      </c>
      <c r="AH8" s="173">
        <f>AH11+AH12</f>
        <v>0</v>
      </c>
      <c r="AI8" s="173">
        <f t="shared" ref="AI8:AN8" si="4">AI11+AI12</f>
        <v>8800</v>
      </c>
      <c r="AJ8" s="173">
        <f>AJ11+AJ12</f>
        <v>20958</v>
      </c>
      <c r="AK8" s="173">
        <f t="shared" si="4"/>
        <v>16837</v>
      </c>
      <c r="AL8" s="173">
        <f t="shared" si="4"/>
        <v>12459</v>
      </c>
      <c r="AM8" s="173">
        <f t="shared" si="4"/>
        <v>0</v>
      </c>
      <c r="AN8" s="173">
        <f t="shared" si="4"/>
        <v>0</v>
      </c>
      <c r="AO8" s="173">
        <f>AO11+AO12</f>
        <v>4860</v>
      </c>
      <c r="AP8" s="185">
        <f>SUM(AH8:AO8)</f>
        <v>63914</v>
      </c>
      <c r="AQ8" s="192">
        <f>I8+Q8+Y8+AG8+AP8</f>
        <v>243089</v>
      </c>
    </row>
    <row r="9" spans="1:43" ht="15.75" thickBot="1">
      <c r="A9" s="164" t="s">
        <v>15</v>
      </c>
      <c r="B9" s="177" t="e">
        <f t="shared" ref="B9:AN9" si="5">B8/B6</f>
        <v>#DIV/0!</v>
      </c>
      <c r="C9" s="177" t="e">
        <f t="shared" si="5"/>
        <v>#DIV/0!</v>
      </c>
      <c r="D9" s="177" t="e">
        <f t="shared" si="5"/>
        <v>#DIV/0!</v>
      </c>
      <c r="E9" s="177" t="e">
        <f t="shared" si="5"/>
        <v>#DIV/0!</v>
      </c>
      <c r="F9" s="177" t="e">
        <f t="shared" si="5"/>
        <v>#DIV/0!</v>
      </c>
      <c r="G9" s="177" t="e">
        <f t="shared" si="5"/>
        <v>#DIV/0!</v>
      </c>
      <c r="H9" s="177" t="e">
        <f t="shared" si="5"/>
        <v>#DIV/0!</v>
      </c>
      <c r="I9" s="176" t="e">
        <f t="shared" si="5"/>
        <v>#DIV/0!</v>
      </c>
      <c r="J9" s="177">
        <f t="shared" si="5"/>
        <v>0</v>
      </c>
      <c r="K9" s="177">
        <f t="shared" si="5"/>
        <v>0.54619435136428918</v>
      </c>
      <c r="L9" s="177">
        <f t="shared" si="5"/>
        <v>0.11875914221841967</v>
      </c>
      <c r="M9" s="177">
        <f t="shared" si="5"/>
        <v>8.8753978173873774E-2</v>
      </c>
      <c r="N9" s="177" t="e">
        <f t="shared" si="5"/>
        <v>#DIV/0!</v>
      </c>
      <c r="O9" s="177" t="e">
        <f t="shared" si="5"/>
        <v>#DIV/0!</v>
      </c>
      <c r="P9" s="177" t="e">
        <f t="shared" si="5"/>
        <v>#DIV/0!</v>
      </c>
      <c r="Q9" s="176">
        <f t="shared" si="5"/>
        <v>0.1921097899281442</v>
      </c>
      <c r="R9" s="177">
        <f t="shared" si="5"/>
        <v>0</v>
      </c>
      <c r="S9" s="177">
        <f t="shared" ref="S9:X9" si="6">S8/S6</f>
        <v>8.8055366742878324E-2</v>
      </c>
      <c r="T9" s="177">
        <f t="shared" si="6"/>
        <v>0.14777548900508811</v>
      </c>
      <c r="U9" s="177">
        <f t="shared" si="6"/>
        <v>0.25970397220963598</v>
      </c>
      <c r="V9" s="177">
        <f t="shared" si="6"/>
        <v>0.31246767575768025</v>
      </c>
      <c r="W9" s="177">
        <f t="shared" si="6"/>
        <v>7.0685380936143544E-2</v>
      </c>
      <c r="X9" s="177">
        <f t="shared" si="6"/>
        <v>0</v>
      </c>
      <c r="Y9" s="176">
        <f t="shared" si="5"/>
        <v>0.12086924921375637</v>
      </c>
      <c r="Z9" s="177" t="e">
        <f t="shared" si="5"/>
        <v>#DIV/0!</v>
      </c>
      <c r="AA9" s="177">
        <f t="shared" si="5"/>
        <v>0</v>
      </c>
      <c r="AB9" s="177">
        <f t="shared" si="5"/>
        <v>9.6359443132055383E-2</v>
      </c>
      <c r="AC9" s="177">
        <f t="shared" si="5"/>
        <v>0.19287553368314703</v>
      </c>
      <c r="AD9" s="177" t="e">
        <f t="shared" si="5"/>
        <v>#DIV/0!</v>
      </c>
      <c r="AE9" s="177" t="e">
        <f t="shared" si="5"/>
        <v>#DIV/0!</v>
      </c>
      <c r="AF9" s="177" t="e">
        <f t="shared" si="5"/>
        <v>#DIV/0!</v>
      </c>
      <c r="AG9" s="176">
        <f t="shared" si="5"/>
        <v>0.20240498052704892</v>
      </c>
      <c r="AH9" s="177">
        <f t="shared" si="5"/>
        <v>0</v>
      </c>
      <c r="AI9" s="177">
        <f t="shared" si="5"/>
        <v>0.11372888584463084</v>
      </c>
      <c r="AJ9" s="177">
        <f t="shared" si="5"/>
        <v>0.15054304102976671</v>
      </c>
      <c r="AK9" s="177">
        <f t="shared" si="5"/>
        <v>0.31149057406619429</v>
      </c>
      <c r="AL9" s="177">
        <f t="shared" si="5"/>
        <v>0.22956166049416837</v>
      </c>
      <c r="AM9" s="177" t="e">
        <f t="shared" si="5"/>
        <v>#DIV/0!</v>
      </c>
      <c r="AN9" s="177" t="e">
        <f t="shared" si="5"/>
        <v>#DIV/0!</v>
      </c>
      <c r="AO9" s="177">
        <f t="shared" ref="AO9" si="7">AO8/AO6</f>
        <v>6.6447908121410992E-2</v>
      </c>
      <c r="AP9" s="176">
        <f>AP8/AP6</f>
        <v>0.14672770181544367</v>
      </c>
      <c r="AQ9" s="193">
        <f>AQ8/AQ6</f>
        <v>0.15468016154659164</v>
      </c>
    </row>
    <row r="10" spans="1:43">
      <c r="A10" s="151"/>
      <c r="B10" s="178"/>
      <c r="C10" s="178"/>
      <c r="D10" s="178"/>
      <c r="E10" s="178"/>
      <c r="F10" s="178"/>
      <c r="G10" s="186"/>
      <c r="H10" s="178"/>
      <c r="I10" s="151"/>
      <c r="J10" s="178"/>
      <c r="K10" s="178"/>
      <c r="L10" s="178"/>
      <c r="M10" s="178"/>
      <c r="N10" s="178"/>
      <c r="O10" s="178"/>
      <c r="P10" s="188"/>
      <c r="Q10" s="151"/>
      <c r="R10" s="189"/>
      <c r="S10" s="189"/>
      <c r="T10" s="189"/>
      <c r="U10" s="189"/>
      <c r="V10" s="189"/>
      <c r="W10" s="189"/>
      <c r="X10" s="189"/>
      <c r="Y10" s="151"/>
      <c r="Z10" s="188"/>
      <c r="AA10" s="178"/>
      <c r="AB10" s="178"/>
      <c r="AC10" s="178"/>
      <c r="AD10" s="178"/>
      <c r="AE10" s="178"/>
      <c r="AF10" s="178"/>
      <c r="AG10" s="151"/>
      <c r="AH10" s="178"/>
      <c r="AI10" s="188"/>
      <c r="AJ10" s="189"/>
      <c r="AK10" s="189"/>
      <c r="AL10" s="189"/>
      <c r="AM10" s="189"/>
      <c r="AN10" s="189"/>
      <c r="AP10" s="151"/>
      <c r="AQ10" s="47"/>
    </row>
    <row r="11" spans="1:43" s="160" customFormat="1">
      <c r="A11" s="303" t="s">
        <v>172</v>
      </c>
      <c r="B11" s="180"/>
      <c r="C11" s="180"/>
      <c r="D11" s="180"/>
      <c r="E11" s="180"/>
      <c r="F11" s="180"/>
      <c r="G11" s="180">
        <v>0</v>
      </c>
      <c r="H11" s="180">
        <v>0</v>
      </c>
      <c r="I11" s="179"/>
      <c r="J11" s="180">
        <v>0</v>
      </c>
      <c r="K11" s="180">
        <v>9500</v>
      </c>
      <c r="L11" s="180">
        <v>0</v>
      </c>
      <c r="M11" s="180">
        <v>8450</v>
      </c>
      <c r="N11" s="180">
        <v>7150</v>
      </c>
      <c r="O11" s="180">
        <v>0</v>
      </c>
      <c r="P11" s="187">
        <v>0</v>
      </c>
      <c r="Q11" s="179"/>
      <c r="R11" s="180">
        <v>0</v>
      </c>
      <c r="S11" s="180">
        <v>11400</v>
      </c>
      <c r="T11" s="180">
        <v>8460</v>
      </c>
      <c r="U11" s="180">
        <v>9000</v>
      </c>
      <c r="V11" s="180">
        <v>10040</v>
      </c>
      <c r="W11" s="180">
        <v>7670</v>
      </c>
      <c r="X11" s="180">
        <v>0</v>
      </c>
      <c r="Y11" s="179"/>
      <c r="Z11" s="180">
        <v>8040</v>
      </c>
      <c r="AA11" s="180">
        <v>0</v>
      </c>
      <c r="AB11" s="180">
        <v>10320</v>
      </c>
      <c r="AC11" s="180">
        <v>9470</v>
      </c>
      <c r="AD11" s="180">
        <v>4280</v>
      </c>
      <c r="AE11" s="180">
        <v>0</v>
      </c>
      <c r="AF11" s="180">
        <v>0</v>
      </c>
      <c r="AG11" s="179"/>
      <c r="AH11" s="180">
        <v>0</v>
      </c>
      <c r="AI11" s="180">
        <v>8800</v>
      </c>
      <c r="AJ11" s="180">
        <v>12580</v>
      </c>
      <c r="AK11" s="180">
        <v>8410</v>
      </c>
      <c r="AL11" s="180">
        <v>3960</v>
      </c>
      <c r="AM11" s="180">
        <v>0</v>
      </c>
      <c r="AN11" s="180">
        <v>0</v>
      </c>
      <c r="AO11" s="160">
        <v>4860</v>
      </c>
      <c r="AP11" s="305">
        <f>SUM(AH11:AO11,Z11:AF11,R11:X11,J11:P11)</f>
        <v>142390</v>
      </c>
      <c r="AQ11" s="195" t="s">
        <v>17</v>
      </c>
    </row>
    <row r="12" spans="1:43" s="160" customFormat="1">
      <c r="A12" s="303" t="s">
        <v>173</v>
      </c>
      <c r="C12" s="182"/>
      <c r="F12" s="182"/>
      <c r="G12" s="182">
        <v>0</v>
      </c>
      <c r="H12" s="182">
        <v>0</v>
      </c>
      <c r="I12" s="181"/>
      <c r="J12" s="182">
        <v>0</v>
      </c>
      <c r="K12" s="182">
        <v>8756</v>
      </c>
      <c r="L12" s="160">
        <v>8606</v>
      </c>
      <c r="M12" s="160">
        <v>0</v>
      </c>
      <c r="N12" s="182">
        <v>8576</v>
      </c>
      <c r="O12" s="182">
        <v>0</v>
      </c>
      <c r="P12" s="160">
        <v>0</v>
      </c>
      <c r="Q12" s="181"/>
      <c r="R12" s="160">
        <v>0</v>
      </c>
      <c r="S12" s="160">
        <v>0</v>
      </c>
      <c r="T12" s="160">
        <v>8327</v>
      </c>
      <c r="U12" s="160">
        <v>8195</v>
      </c>
      <c r="V12" s="160">
        <v>8085</v>
      </c>
      <c r="W12" s="160">
        <v>0</v>
      </c>
      <c r="X12" s="160">
        <v>0</v>
      </c>
      <c r="Y12" s="181"/>
      <c r="Z12" s="160">
        <v>8362</v>
      </c>
      <c r="AA12" s="160">
        <v>0</v>
      </c>
      <c r="AB12" s="160">
        <v>0</v>
      </c>
      <c r="AC12" s="160">
        <v>8284</v>
      </c>
      <c r="AD12" s="160">
        <v>8204</v>
      </c>
      <c r="AE12" s="160">
        <v>0</v>
      </c>
      <c r="AF12" s="160">
        <v>0</v>
      </c>
      <c r="AG12" s="181"/>
      <c r="AH12" s="160">
        <v>0</v>
      </c>
      <c r="AI12" s="160">
        <v>0</v>
      </c>
      <c r="AJ12" s="160">
        <v>8378</v>
      </c>
      <c r="AK12" s="160">
        <v>8427</v>
      </c>
      <c r="AL12" s="190">
        <v>8499</v>
      </c>
      <c r="AM12" s="160">
        <v>0</v>
      </c>
      <c r="AN12" s="160">
        <v>0</v>
      </c>
      <c r="AO12" s="160">
        <v>0</v>
      </c>
      <c r="AP12" s="302">
        <f>SUM(AH12:AO12,Z12:AF12,R12:X12,J12:P12)</f>
        <v>100699</v>
      </c>
      <c r="AQ12" s="194" t="s">
        <v>16</v>
      </c>
    </row>
    <row r="13" spans="1:43" ht="15.75" thickBot="1">
      <c r="A13" s="304" t="s">
        <v>18</v>
      </c>
      <c r="B13" s="163" t="s">
        <v>3</v>
      </c>
      <c r="C13" s="163" t="s">
        <v>4</v>
      </c>
      <c r="D13" s="163" t="s">
        <v>4</v>
      </c>
      <c r="E13" s="163" t="s">
        <v>5</v>
      </c>
      <c r="F13" s="163" t="s">
        <v>6</v>
      </c>
      <c r="G13" s="163" t="s">
        <v>7</v>
      </c>
      <c r="H13" s="163" t="s">
        <v>2</v>
      </c>
      <c r="I13" s="163"/>
      <c r="J13" s="163" t="s">
        <v>3</v>
      </c>
      <c r="K13" s="163" t="s">
        <v>4</v>
      </c>
      <c r="L13" s="163" t="s">
        <v>4</v>
      </c>
      <c r="M13" s="163" t="s">
        <v>5</v>
      </c>
      <c r="N13" s="163" t="s">
        <v>6</v>
      </c>
      <c r="O13" s="163" t="s">
        <v>7</v>
      </c>
      <c r="P13" s="163" t="s">
        <v>2</v>
      </c>
      <c r="Q13" s="163"/>
      <c r="R13" s="163" t="s">
        <v>3</v>
      </c>
      <c r="S13" s="163" t="s">
        <v>4</v>
      </c>
      <c r="T13" s="163" t="s">
        <v>4</v>
      </c>
      <c r="U13" s="163" t="s">
        <v>5</v>
      </c>
      <c r="V13" s="163" t="s">
        <v>6</v>
      </c>
      <c r="W13" s="163" t="s">
        <v>7</v>
      </c>
      <c r="X13" s="163" t="s">
        <v>2</v>
      </c>
      <c r="Y13" s="163"/>
      <c r="Z13" s="163" t="s">
        <v>3</v>
      </c>
      <c r="AA13" s="163" t="s">
        <v>4</v>
      </c>
      <c r="AB13" s="163" t="s">
        <v>4</v>
      </c>
      <c r="AC13" s="163" t="s">
        <v>5</v>
      </c>
      <c r="AD13" s="163" t="s">
        <v>6</v>
      </c>
      <c r="AE13" s="163" t="s">
        <v>7</v>
      </c>
      <c r="AF13" s="163" t="s">
        <v>2</v>
      </c>
      <c r="AG13" s="163"/>
      <c r="AH13" s="163" t="s">
        <v>3</v>
      </c>
      <c r="AI13" s="163" t="s">
        <v>4</v>
      </c>
      <c r="AJ13" s="163" t="s">
        <v>4</v>
      </c>
      <c r="AK13" s="163" t="s">
        <v>5</v>
      </c>
      <c r="AL13" s="163" t="s">
        <v>6</v>
      </c>
      <c r="AM13" s="163" t="s">
        <v>7</v>
      </c>
      <c r="AN13" s="163" t="s">
        <v>2</v>
      </c>
      <c r="AO13" s="151"/>
    </row>
    <row r="14" spans="1:43" ht="15.75" thickBot="1">
      <c r="A14" s="164" t="s">
        <v>8</v>
      </c>
      <c r="B14" s="169"/>
      <c r="C14" s="169">
        <v>44593</v>
      </c>
      <c r="D14" s="169">
        <v>44594</v>
      </c>
      <c r="E14" s="169">
        <v>44595</v>
      </c>
      <c r="F14" s="169">
        <v>44596</v>
      </c>
      <c r="G14" s="169">
        <v>44597</v>
      </c>
      <c r="H14" s="169">
        <v>44598</v>
      </c>
      <c r="I14" s="166" t="s">
        <v>9</v>
      </c>
      <c r="J14" s="169">
        <v>44599</v>
      </c>
      <c r="K14" s="169">
        <v>44600</v>
      </c>
      <c r="L14" s="169">
        <v>44601</v>
      </c>
      <c r="M14" s="169">
        <v>44602</v>
      </c>
      <c r="N14" s="169">
        <v>44603</v>
      </c>
      <c r="O14" s="169">
        <v>44604</v>
      </c>
      <c r="P14" s="169">
        <v>44605</v>
      </c>
      <c r="Q14" s="166" t="s">
        <v>9</v>
      </c>
      <c r="R14" s="169">
        <v>44606</v>
      </c>
      <c r="S14" s="169">
        <v>44607</v>
      </c>
      <c r="T14" s="169">
        <v>44608</v>
      </c>
      <c r="U14" s="169">
        <v>44609</v>
      </c>
      <c r="V14" s="169">
        <v>44610</v>
      </c>
      <c r="W14" s="169">
        <v>44611</v>
      </c>
      <c r="X14" s="169">
        <v>44612</v>
      </c>
      <c r="Y14" s="166" t="s">
        <v>9</v>
      </c>
      <c r="Z14" s="169">
        <v>44613</v>
      </c>
      <c r="AA14" s="169">
        <v>44614</v>
      </c>
      <c r="AB14" s="169">
        <v>44615</v>
      </c>
      <c r="AC14" s="169">
        <v>44616</v>
      </c>
      <c r="AD14" s="169">
        <v>44617</v>
      </c>
      <c r="AE14" s="169">
        <v>44618</v>
      </c>
      <c r="AF14" s="169">
        <v>44619</v>
      </c>
      <c r="AG14" s="166" t="s">
        <v>9</v>
      </c>
      <c r="AH14" s="169">
        <v>44620</v>
      </c>
      <c r="AI14" s="169"/>
      <c r="AJ14" s="169"/>
      <c r="AK14" s="169"/>
      <c r="AL14" s="169"/>
      <c r="AM14" s="169"/>
      <c r="AN14" s="169"/>
      <c r="AO14" s="166" t="s">
        <v>9</v>
      </c>
      <c r="AP14" s="191" t="s">
        <v>10</v>
      </c>
    </row>
    <row r="15" spans="1:43">
      <c r="A15" s="170" t="s">
        <v>11</v>
      </c>
      <c r="B15" s="172"/>
      <c r="C15" s="173">
        <v>92118</v>
      </c>
      <c r="D15" s="173">
        <v>114037</v>
      </c>
      <c r="E15" s="173">
        <v>76391</v>
      </c>
      <c r="F15" s="173">
        <v>0</v>
      </c>
      <c r="G15" s="173">
        <v>0</v>
      </c>
      <c r="H15" s="173">
        <v>0</v>
      </c>
      <c r="I15" s="185">
        <f>SUM(B15:H15)</f>
        <v>282546</v>
      </c>
      <c r="J15" s="173">
        <v>0</v>
      </c>
      <c r="K15" s="173">
        <v>56455</v>
      </c>
      <c r="L15" s="173">
        <v>57332</v>
      </c>
      <c r="M15" s="173">
        <v>65305</v>
      </c>
      <c r="N15" s="173">
        <v>42928</v>
      </c>
      <c r="O15" s="173">
        <v>43416</v>
      </c>
      <c r="P15" s="173">
        <v>0</v>
      </c>
      <c r="Q15" s="185">
        <f>SUM(J15:P15)</f>
        <v>265436</v>
      </c>
      <c r="R15" s="173">
        <v>35428</v>
      </c>
      <c r="S15" s="173">
        <v>28650</v>
      </c>
      <c r="T15" s="173">
        <v>78712</v>
      </c>
      <c r="U15" s="173">
        <v>40732</v>
      </c>
      <c r="V15" s="173">
        <v>35574</v>
      </c>
      <c r="W15" s="173">
        <v>0</v>
      </c>
      <c r="X15" s="173">
        <v>0</v>
      </c>
      <c r="Y15" s="185">
        <f>SUM(R15:X15)</f>
        <v>219096</v>
      </c>
      <c r="Z15" s="173">
        <v>60039</v>
      </c>
      <c r="AA15" s="173">
        <v>103625</v>
      </c>
      <c r="AB15" s="173">
        <v>89820</v>
      </c>
      <c r="AC15" s="173">
        <v>77698</v>
      </c>
      <c r="AD15" s="173">
        <v>39276</v>
      </c>
      <c r="AE15" s="173">
        <v>51803</v>
      </c>
      <c r="AF15" s="173">
        <v>0</v>
      </c>
      <c r="AG15" s="185">
        <f>SUM(Z15:AF15)</f>
        <v>422261</v>
      </c>
      <c r="AH15" s="173">
        <v>55938</v>
      </c>
      <c r="AI15" s="173"/>
      <c r="AJ15" s="173"/>
      <c r="AK15" s="173"/>
      <c r="AL15" s="173"/>
      <c r="AM15" s="173"/>
      <c r="AN15" s="173"/>
      <c r="AO15" s="185">
        <f>AH15</f>
        <v>55938</v>
      </c>
      <c r="AP15" s="192">
        <f>I15+Q15+Y15+AG15+AO15</f>
        <v>1245277</v>
      </c>
    </row>
    <row r="16" spans="1:43">
      <c r="A16" s="170" t="s">
        <v>12</v>
      </c>
      <c r="B16" s="172"/>
      <c r="C16" s="173"/>
      <c r="D16" s="173"/>
      <c r="E16" s="173"/>
      <c r="F16" s="173"/>
      <c r="G16" s="173"/>
      <c r="H16" s="173"/>
      <c r="I16" s="185">
        <f>SUM(B16:H16)</f>
        <v>0</v>
      </c>
      <c r="J16" s="173"/>
      <c r="K16" s="173"/>
      <c r="L16" s="173"/>
      <c r="M16" s="173"/>
      <c r="N16" s="173"/>
      <c r="O16" s="173"/>
      <c r="P16" s="173"/>
      <c r="Q16" s="185">
        <f>SUM(J16:P16)</f>
        <v>0</v>
      </c>
      <c r="R16" s="173"/>
      <c r="S16" s="173"/>
      <c r="T16" s="173"/>
      <c r="U16" s="173"/>
      <c r="V16" s="173"/>
      <c r="W16" s="173"/>
      <c r="X16" s="173"/>
      <c r="Y16" s="185">
        <f>SUM(R16:X16)</f>
        <v>0</v>
      </c>
      <c r="Z16" s="173"/>
      <c r="AA16" s="173"/>
      <c r="AB16" s="173"/>
      <c r="AC16" s="173"/>
      <c r="AD16" s="173"/>
      <c r="AE16" s="173"/>
      <c r="AF16" s="173"/>
      <c r="AG16" s="185">
        <f>SUM(Z16:AF16)</f>
        <v>0</v>
      </c>
      <c r="AH16" s="173">
        <v>0</v>
      </c>
      <c r="AI16" s="173"/>
      <c r="AJ16" s="173"/>
      <c r="AK16" s="173"/>
      <c r="AL16" s="173"/>
      <c r="AM16" s="173"/>
      <c r="AN16" s="173"/>
      <c r="AO16" s="185">
        <f>SUM(AN16)</f>
        <v>0</v>
      </c>
      <c r="AP16" s="192">
        <f>I16+Q16+Y16+AG16+AO16</f>
        <v>0</v>
      </c>
    </row>
    <row r="17" spans="1:42" ht="15.75" thickBot="1">
      <c r="A17" s="174" t="s">
        <v>13</v>
      </c>
      <c r="B17" s="173"/>
      <c r="C17" s="173">
        <f>C20+C21</f>
        <v>6080</v>
      </c>
      <c r="D17" s="173">
        <f>D20+D21</f>
        <v>13582</v>
      </c>
      <c r="E17" s="173">
        <f>E20+E21</f>
        <v>4361</v>
      </c>
      <c r="F17" s="173">
        <f>F20+F21</f>
        <v>11325</v>
      </c>
      <c r="G17" s="173">
        <f t="shared" ref="G17:H17" si="8">G20+G21</f>
        <v>0</v>
      </c>
      <c r="H17" s="173">
        <f t="shared" si="8"/>
        <v>0</v>
      </c>
      <c r="I17" s="185">
        <f>SUM(B17:H17)</f>
        <v>35348</v>
      </c>
      <c r="J17" s="173">
        <f>J20+J21</f>
        <v>0</v>
      </c>
      <c r="K17" s="173">
        <f>K20+K21</f>
        <v>18484</v>
      </c>
      <c r="L17" s="173">
        <f>L20+L21</f>
        <v>17557</v>
      </c>
      <c r="M17" s="173">
        <f>M20+M21</f>
        <v>10510</v>
      </c>
      <c r="N17" s="173">
        <f>N20+N21</f>
        <v>12081</v>
      </c>
      <c r="O17" s="173">
        <f t="shared" ref="O17:P17" si="9">O20+O21</f>
        <v>0</v>
      </c>
      <c r="P17" s="173">
        <f t="shared" si="9"/>
        <v>0</v>
      </c>
      <c r="Q17" s="185">
        <f>SUM(J17:P17)</f>
        <v>58632</v>
      </c>
      <c r="R17" s="173">
        <f>R20+R21</f>
        <v>3530</v>
      </c>
      <c r="S17" s="173">
        <f t="shared" ref="S17:X17" si="10">S20+S21</f>
        <v>4870</v>
      </c>
      <c r="T17" s="173">
        <f t="shared" si="10"/>
        <v>16745</v>
      </c>
      <c r="U17" s="173">
        <f t="shared" si="10"/>
        <v>13611</v>
      </c>
      <c r="V17" s="173">
        <f t="shared" si="10"/>
        <v>5110</v>
      </c>
      <c r="W17" s="173">
        <f t="shared" si="10"/>
        <v>0</v>
      </c>
      <c r="X17" s="173">
        <f t="shared" si="10"/>
        <v>0</v>
      </c>
      <c r="Y17" s="185">
        <f>SUM(R17:X17)</f>
        <v>43866</v>
      </c>
      <c r="Z17" s="173">
        <f>Z20+Z21</f>
        <v>3570</v>
      </c>
      <c r="AA17" s="173">
        <f t="shared" ref="AA17:AF17" si="11">AA20+AA21</f>
        <v>4390</v>
      </c>
      <c r="AB17" s="173">
        <f t="shared" si="11"/>
        <v>12762</v>
      </c>
      <c r="AC17" s="173">
        <f>AC20+AC21</f>
        <v>21913</v>
      </c>
      <c r="AD17" s="173">
        <f t="shared" si="11"/>
        <v>6520</v>
      </c>
      <c r="AE17" s="173">
        <f>AE20+AE21</f>
        <v>11821</v>
      </c>
      <c r="AF17" s="173">
        <f t="shared" si="11"/>
        <v>0</v>
      </c>
      <c r="AG17" s="185">
        <f>SUM(Z17:AF17)</f>
        <v>60976</v>
      </c>
      <c r="AH17" s="173">
        <f>AH20+AH21</f>
        <v>4490</v>
      </c>
      <c r="AI17" s="173"/>
      <c r="AJ17" s="173"/>
      <c r="AK17" s="173"/>
      <c r="AL17" s="173"/>
      <c r="AM17" s="173"/>
      <c r="AN17" s="173"/>
      <c r="AO17" s="185">
        <f>AH17</f>
        <v>4490</v>
      </c>
      <c r="AP17" s="192">
        <f>I17+Q17+Y17+AG17+AO17</f>
        <v>203312</v>
      </c>
    </row>
    <row r="18" spans="1:42" ht="15.75" thickBot="1">
      <c r="A18" s="164" t="s">
        <v>15</v>
      </c>
      <c r="B18" s="177" t="e">
        <f t="shared" ref="B18:I18" si="12">B17/B15</f>
        <v>#DIV/0!</v>
      </c>
      <c r="C18" s="177">
        <f t="shared" si="12"/>
        <v>6.6002301396035523E-2</v>
      </c>
      <c r="D18" s="177">
        <f t="shared" si="12"/>
        <v>0.11910169506388278</v>
      </c>
      <c r="E18" s="177">
        <f t="shared" si="12"/>
        <v>5.7087876844130851E-2</v>
      </c>
      <c r="F18" s="177" t="e">
        <f t="shared" si="12"/>
        <v>#DIV/0!</v>
      </c>
      <c r="G18" s="177" t="e">
        <f t="shared" si="12"/>
        <v>#DIV/0!</v>
      </c>
      <c r="H18" s="177" t="e">
        <f t="shared" si="12"/>
        <v>#DIV/0!</v>
      </c>
      <c r="I18" s="176">
        <f t="shared" si="12"/>
        <v>0.12510529258952524</v>
      </c>
      <c r="J18" s="177" t="e">
        <f t="shared" ref="J18:R18" si="13">J17/J15</f>
        <v>#DIV/0!</v>
      </c>
      <c r="K18" s="177">
        <f t="shared" si="13"/>
        <v>0.32741121247010896</v>
      </c>
      <c r="L18" s="177">
        <f t="shared" si="13"/>
        <v>0.3062338659038582</v>
      </c>
      <c r="M18" s="177">
        <f t="shared" si="13"/>
        <v>0.16093714110711277</v>
      </c>
      <c r="N18" s="177">
        <f t="shared" si="13"/>
        <v>0.2814247111442415</v>
      </c>
      <c r="O18" s="177">
        <f t="shared" si="13"/>
        <v>0</v>
      </c>
      <c r="P18" s="177" t="e">
        <f t="shared" si="13"/>
        <v>#DIV/0!</v>
      </c>
      <c r="Q18" s="176">
        <f t="shared" si="13"/>
        <v>0.22088940460223933</v>
      </c>
      <c r="R18" s="177">
        <f t="shared" si="13"/>
        <v>9.9638703850062099E-2</v>
      </c>
      <c r="S18" s="177">
        <f t="shared" ref="S18:Y18" si="14">S17/S15</f>
        <v>0.16998254799301921</v>
      </c>
      <c r="T18" s="177">
        <f t="shared" si="14"/>
        <v>0.21273757495680456</v>
      </c>
      <c r="U18" s="177">
        <f t="shared" si="14"/>
        <v>0.33415987430030442</v>
      </c>
      <c r="V18" s="177">
        <f t="shared" si="14"/>
        <v>0.14364423455332545</v>
      </c>
      <c r="W18" s="177" t="e">
        <f t="shared" si="14"/>
        <v>#DIV/0!</v>
      </c>
      <c r="X18" s="177" t="e">
        <f t="shared" si="14"/>
        <v>#DIV/0!</v>
      </c>
      <c r="Y18" s="176">
        <f t="shared" si="14"/>
        <v>0.20021360499507065</v>
      </c>
      <c r="Z18" s="177">
        <f t="shared" ref="Z18:AG18" si="15">Z17/Z15</f>
        <v>5.9461350122420424E-2</v>
      </c>
      <c r="AA18" s="177">
        <f t="shared" si="15"/>
        <v>4.2364294330518699E-2</v>
      </c>
      <c r="AB18" s="177">
        <f t="shared" si="15"/>
        <v>0.14208416833667334</v>
      </c>
      <c r="AC18" s="177">
        <f t="shared" si="15"/>
        <v>0.28202785142474712</v>
      </c>
      <c r="AD18" s="177">
        <f t="shared" si="15"/>
        <v>0.16600468479478561</v>
      </c>
      <c r="AE18" s="177">
        <f t="shared" si="15"/>
        <v>0.22819141748547381</v>
      </c>
      <c r="AF18" s="177" t="e">
        <f t="shared" si="15"/>
        <v>#DIV/0!</v>
      </c>
      <c r="AG18" s="176">
        <f t="shared" si="15"/>
        <v>0.14440357977648896</v>
      </c>
      <c r="AH18" s="177">
        <f t="shared" ref="AH18:AO18" si="16">AH17/AH15</f>
        <v>8.0267438950266362E-2</v>
      </c>
      <c r="AI18" s="177" t="e">
        <f t="shared" si="16"/>
        <v>#DIV/0!</v>
      </c>
      <c r="AJ18" s="177" t="e">
        <f t="shared" si="16"/>
        <v>#DIV/0!</v>
      </c>
      <c r="AK18" s="177" t="e">
        <f t="shared" si="16"/>
        <v>#DIV/0!</v>
      </c>
      <c r="AL18" s="177" t="e">
        <f t="shared" si="16"/>
        <v>#DIV/0!</v>
      </c>
      <c r="AM18" s="177" t="e">
        <f t="shared" si="16"/>
        <v>#DIV/0!</v>
      </c>
      <c r="AN18" s="177" t="e">
        <f t="shared" si="16"/>
        <v>#DIV/0!</v>
      </c>
      <c r="AO18" s="176">
        <f t="shared" si="16"/>
        <v>8.0267438950266362E-2</v>
      </c>
      <c r="AP18" s="193">
        <f>AP17/AP15</f>
        <v>0.16326648609104641</v>
      </c>
    </row>
    <row r="19" spans="1:42">
      <c r="B19" s="178"/>
      <c r="C19" s="178"/>
      <c r="D19" s="178"/>
      <c r="E19" s="178"/>
      <c r="F19" s="178"/>
      <c r="G19" s="186"/>
      <c r="H19" s="178"/>
      <c r="I19" s="151"/>
      <c r="J19" s="178"/>
      <c r="K19" s="178"/>
      <c r="L19" s="178"/>
      <c r="M19" s="178"/>
      <c r="N19" s="178"/>
      <c r="O19" s="178"/>
      <c r="P19" s="188"/>
      <c r="Q19" s="151"/>
      <c r="R19" s="189"/>
      <c r="S19" s="189"/>
      <c r="T19" s="189"/>
      <c r="U19" s="189"/>
      <c r="V19" s="189"/>
      <c r="W19" s="189"/>
      <c r="X19" s="189"/>
      <c r="Y19" s="151"/>
      <c r="Z19" s="188"/>
      <c r="AA19" s="178"/>
      <c r="AB19" s="178"/>
      <c r="AC19" s="178"/>
      <c r="AD19" s="178"/>
      <c r="AE19" s="178"/>
      <c r="AF19" s="178"/>
      <c r="AG19" s="151"/>
      <c r="AH19" s="178"/>
      <c r="AI19" s="188"/>
      <c r="AJ19" s="189"/>
      <c r="AK19" s="189"/>
      <c r="AL19" s="189"/>
      <c r="AM19" s="189"/>
      <c r="AN19" s="189"/>
      <c r="AO19" s="151"/>
      <c r="AP19" s="47"/>
    </row>
    <row r="20" spans="1:42" s="161" customFormat="1">
      <c r="A20" s="303" t="s">
        <v>172</v>
      </c>
      <c r="B20" s="180"/>
      <c r="C20" s="180">
        <v>0</v>
      </c>
      <c r="D20" s="180">
        <v>8502</v>
      </c>
      <c r="E20" s="180">
        <v>0</v>
      </c>
      <c r="F20" s="180">
        <v>8315</v>
      </c>
      <c r="G20" s="180">
        <v>0</v>
      </c>
      <c r="H20" s="180">
        <v>0</v>
      </c>
      <c r="I20" s="179"/>
      <c r="J20" s="180">
        <v>0</v>
      </c>
      <c r="K20" s="180">
        <v>8594</v>
      </c>
      <c r="L20" s="180">
        <v>8167</v>
      </c>
      <c r="M20" s="180">
        <v>0</v>
      </c>
      <c r="N20" s="180">
        <v>8391</v>
      </c>
      <c r="O20" s="180">
        <v>0</v>
      </c>
      <c r="P20" s="187">
        <v>0</v>
      </c>
      <c r="Q20" s="179"/>
      <c r="R20" s="180">
        <v>0</v>
      </c>
      <c r="S20" s="180">
        <v>0</v>
      </c>
      <c r="T20" s="180">
        <v>7845</v>
      </c>
      <c r="U20" s="180">
        <v>8761</v>
      </c>
      <c r="V20" s="180">
        <v>0</v>
      </c>
      <c r="W20" s="180">
        <v>0</v>
      </c>
      <c r="X20" s="180">
        <v>0</v>
      </c>
      <c r="Y20" s="179"/>
      <c r="Z20" s="180">
        <v>0</v>
      </c>
      <c r="AA20" s="180">
        <v>0</v>
      </c>
      <c r="AB20" s="180">
        <v>8382</v>
      </c>
      <c r="AC20" s="180">
        <v>8613</v>
      </c>
      <c r="AD20" s="180">
        <v>0</v>
      </c>
      <c r="AE20" s="180">
        <v>8341</v>
      </c>
      <c r="AF20" s="180">
        <v>0</v>
      </c>
      <c r="AG20" s="179"/>
      <c r="AH20" s="180">
        <v>0</v>
      </c>
      <c r="AI20" s="187"/>
      <c r="AJ20" s="180"/>
      <c r="AK20" s="180"/>
      <c r="AL20" s="180"/>
      <c r="AM20" s="180"/>
      <c r="AN20" s="180">
        <f>SUM(AH20,Z20:AF20,R20:X20,J20:P20,C20:H20)</f>
        <v>83911</v>
      </c>
      <c r="AO20" s="195" t="s">
        <v>17</v>
      </c>
    </row>
    <row r="21" spans="1:42" s="161" customFormat="1">
      <c r="A21" s="303" t="s">
        <v>173</v>
      </c>
      <c r="B21" s="160"/>
      <c r="C21" s="182">
        <v>6080</v>
      </c>
      <c r="D21" s="160">
        <v>5080</v>
      </c>
      <c r="E21" s="160">
        <v>4361</v>
      </c>
      <c r="F21" s="182">
        <v>3010</v>
      </c>
      <c r="G21" s="182">
        <v>0</v>
      </c>
      <c r="H21" s="182">
        <v>0</v>
      </c>
      <c r="I21" s="181"/>
      <c r="J21" s="182">
        <v>0</v>
      </c>
      <c r="K21" s="182">
        <v>9890</v>
      </c>
      <c r="L21" s="160">
        <v>9390</v>
      </c>
      <c r="M21" s="160">
        <v>10510</v>
      </c>
      <c r="N21" s="182">
        <v>3690</v>
      </c>
      <c r="O21" s="182">
        <v>0</v>
      </c>
      <c r="P21" s="160">
        <v>0</v>
      </c>
      <c r="Q21" s="181"/>
      <c r="R21" s="160">
        <v>3530</v>
      </c>
      <c r="S21" s="160">
        <v>4870</v>
      </c>
      <c r="T21" s="160">
        <v>8900</v>
      </c>
      <c r="U21" s="160">
        <v>4850</v>
      </c>
      <c r="V21" s="160">
        <v>5110</v>
      </c>
      <c r="W21" s="160">
        <v>0</v>
      </c>
      <c r="X21" s="160">
        <v>0</v>
      </c>
      <c r="Y21" s="181"/>
      <c r="Z21" s="160">
        <v>3570</v>
      </c>
      <c r="AA21" s="160">
        <v>4390</v>
      </c>
      <c r="AB21" s="160">
        <v>4380</v>
      </c>
      <c r="AC21" s="160">
        <v>13300</v>
      </c>
      <c r="AD21" s="160">
        <v>6520</v>
      </c>
      <c r="AE21" s="160">
        <v>3480</v>
      </c>
      <c r="AF21" s="160">
        <v>0</v>
      </c>
      <c r="AG21" s="181"/>
      <c r="AH21" s="160">
        <v>4490</v>
      </c>
      <c r="AI21" s="160"/>
      <c r="AJ21" s="160"/>
      <c r="AK21" s="160"/>
      <c r="AL21" s="190"/>
      <c r="AM21" s="160"/>
      <c r="AN21" s="160">
        <f>SUM(AH21,Z21:AF21,R21:X21,J21:P21,C21:H21)</f>
        <v>119401</v>
      </c>
      <c r="AO21" s="194" t="s">
        <v>16</v>
      </c>
      <c r="AP21" s="196"/>
    </row>
    <row r="22" spans="1:42" ht="15.75" thickBot="1">
      <c r="A22" s="304" t="s">
        <v>19</v>
      </c>
      <c r="B22" s="163" t="s">
        <v>3</v>
      </c>
      <c r="C22" s="163" t="s">
        <v>4</v>
      </c>
      <c r="D22" s="163" t="s">
        <v>4</v>
      </c>
      <c r="E22" s="163" t="s">
        <v>5</v>
      </c>
      <c r="F22" s="163" t="s">
        <v>6</v>
      </c>
      <c r="G22" s="163" t="s">
        <v>7</v>
      </c>
      <c r="H22" s="163" t="s">
        <v>2</v>
      </c>
      <c r="I22" s="163"/>
      <c r="J22" s="163" t="s">
        <v>3</v>
      </c>
      <c r="K22" s="163" t="s">
        <v>4</v>
      </c>
      <c r="L22" s="163" t="s">
        <v>4</v>
      </c>
      <c r="M22" s="163" t="s">
        <v>5</v>
      </c>
      <c r="N22" s="163" t="s">
        <v>6</v>
      </c>
      <c r="O22" s="163" t="s">
        <v>7</v>
      </c>
      <c r="P22" s="163" t="s">
        <v>2</v>
      </c>
      <c r="Q22" s="163"/>
      <c r="R22" s="163" t="s">
        <v>3</v>
      </c>
      <c r="S22" s="163" t="s">
        <v>4</v>
      </c>
      <c r="T22" s="163" t="s">
        <v>4</v>
      </c>
      <c r="U22" s="163" t="s">
        <v>5</v>
      </c>
      <c r="V22" s="163" t="s">
        <v>6</v>
      </c>
      <c r="W22" s="163" t="s">
        <v>7</v>
      </c>
      <c r="X22" s="163" t="s">
        <v>2</v>
      </c>
      <c r="Y22" s="163"/>
      <c r="Z22" s="163" t="s">
        <v>3</v>
      </c>
      <c r="AA22" s="163" t="s">
        <v>4</v>
      </c>
      <c r="AB22" s="163" t="s">
        <v>4</v>
      </c>
      <c r="AC22" s="163" t="s">
        <v>5</v>
      </c>
      <c r="AD22" s="163" t="s">
        <v>6</v>
      </c>
      <c r="AE22" s="163" t="s">
        <v>7</v>
      </c>
      <c r="AF22" s="163" t="s">
        <v>2</v>
      </c>
      <c r="AG22" s="163"/>
      <c r="AH22" s="163" t="s">
        <v>3</v>
      </c>
      <c r="AI22" s="163" t="s">
        <v>4</v>
      </c>
      <c r="AJ22" s="163" t="s">
        <v>4</v>
      </c>
      <c r="AK22" s="163" t="s">
        <v>5</v>
      </c>
      <c r="AL22" s="163" t="s">
        <v>6</v>
      </c>
      <c r="AM22" s="163" t="s">
        <v>7</v>
      </c>
      <c r="AN22" s="163" t="s">
        <v>2</v>
      </c>
      <c r="AO22" s="151"/>
      <c r="AP22" s="47"/>
    </row>
    <row r="23" spans="1:42" ht="15.75" thickBot="1">
      <c r="A23" s="164" t="s">
        <v>8</v>
      </c>
      <c r="B23" s="169"/>
      <c r="C23" s="169">
        <v>44621</v>
      </c>
      <c r="D23" s="169">
        <v>44622</v>
      </c>
      <c r="E23" s="169">
        <v>44623</v>
      </c>
      <c r="F23" s="169">
        <v>44624</v>
      </c>
      <c r="G23" s="169">
        <v>44625</v>
      </c>
      <c r="H23" s="169">
        <v>44626</v>
      </c>
      <c r="I23" s="166" t="s">
        <v>9</v>
      </c>
      <c r="J23" s="169">
        <v>44627</v>
      </c>
      <c r="K23" s="169">
        <v>44628</v>
      </c>
      <c r="L23" s="169">
        <v>44629</v>
      </c>
      <c r="M23" s="169">
        <v>44630</v>
      </c>
      <c r="N23" s="169">
        <v>44631</v>
      </c>
      <c r="O23" s="169">
        <v>44632</v>
      </c>
      <c r="P23" s="169">
        <v>44633</v>
      </c>
      <c r="Q23" s="166" t="s">
        <v>9</v>
      </c>
      <c r="R23" s="169">
        <v>44634</v>
      </c>
      <c r="S23" s="169">
        <v>44635</v>
      </c>
      <c r="T23" s="169">
        <v>44636</v>
      </c>
      <c r="U23" s="169">
        <v>44637</v>
      </c>
      <c r="V23" s="169">
        <v>44638</v>
      </c>
      <c r="W23" s="169">
        <v>44639</v>
      </c>
      <c r="X23" s="169">
        <v>44640</v>
      </c>
      <c r="Y23" s="166" t="s">
        <v>9</v>
      </c>
      <c r="Z23" s="169">
        <v>44641</v>
      </c>
      <c r="AA23" s="169">
        <v>44642</v>
      </c>
      <c r="AB23" s="169">
        <v>44643</v>
      </c>
      <c r="AC23" s="169">
        <v>44644</v>
      </c>
      <c r="AD23" s="169">
        <v>44645</v>
      </c>
      <c r="AE23" s="169">
        <v>44646</v>
      </c>
      <c r="AF23" s="169">
        <v>44647</v>
      </c>
      <c r="AG23" s="166" t="s">
        <v>9</v>
      </c>
      <c r="AH23" s="169">
        <v>44648</v>
      </c>
      <c r="AI23" s="169">
        <v>44649</v>
      </c>
      <c r="AJ23" s="169">
        <v>44650</v>
      </c>
      <c r="AK23" s="169">
        <v>44651</v>
      </c>
      <c r="AL23" s="169"/>
      <c r="AM23" s="169"/>
      <c r="AN23" s="169"/>
      <c r="AO23" s="166" t="s">
        <v>9</v>
      </c>
      <c r="AP23" s="191" t="s">
        <v>10</v>
      </c>
    </row>
    <row r="24" spans="1:42">
      <c r="A24" s="170" t="s">
        <v>11</v>
      </c>
      <c r="B24" s="172"/>
      <c r="C24" s="173">
        <v>19855</v>
      </c>
      <c r="D24" s="173">
        <v>28498</v>
      </c>
      <c r="E24" s="173">
        <v>24180</v>
      </c>
      <c r="F24" s="173">
        <v>51841</v>
      </c>
      <c r="G24" s="173">
        <v>0</v>
      </c>
      <c r="H24" s="173">
        <v>0</v>
      </c>
      <c r="I24" s="185">
        <f>SUM(B24:H24)</f>
        <v>124374</v>
      </c>
      <c r="J24" s="173">
        <v>65504</v>
      </c>
      <c r="K24" s="173">
        <v>107475</v>
      </c>
      <c r="L24" s="173">
        <v>104668</v>
      </c>
      <c r="M24" s="173">
        <v>129958</v>
      </c>
      <c r="N24" s="173">
        <v>61518</v>
      </c>
      <c r="O24" s="173">
        <v>44089</v>
      </c>
      <c r="P24" s="173">
        <v>0</v>
      </c>
      <c r="Q24" s="185">
        <f>SUM(J24:P24)</f>
        <v>513212</v>
      </c>
      <c r="R24" s="173">
        <v>75257</v>
      </c>
      <c r="S24" s="173">
        <v>50558</v>
      </c>
      <c r="T24" s="173">
        <v>45207</v>
      </c>
      <c r="U24" s="173">
        <v>65451</v>
      </c>
      <c r="V24" s="173">
        <v>92369</v>
      </c>
      <c r="W24" s="173">
        <v>0</v>
      </c>
      <c r="X24" s="173">
        <v>0</v>
      </c>
      <c r="Y24" s="185">
        <f>SUM(R24:X24)</f>
        <v>328842</v>
      </c>
      <c r="Z24" s="173">
        <v>0</v>
      </c>
      <c r="AA24" s="173">
        <v>94896</v>
      </c>
      <c r="AB24" s="173">
        <v>84517</v>
      </c>
      <c r="AC24" s="173">
        <v>88608</v>
      </c>
      <c r="AD24" s="173">
        <v>70093</v>
      </c>
      <c r="AE24" s="173">
        <v>0</v>
      </c>
      <c r="AF24" s="173">
        <v>0</v>
      </c>
      <c r="AG24" s="185">
        <f>SUM(Z24:AF24)</f>
        <v>338114</v>
      </c>
      <c r="AH24" s="173">
        <v>98620</v>
      </c>
      <c r="AI24" s="173">
        <v>94609</v>
      </c>
      <c r="AJ24" s="173">
        <v>90295</v>
      </c>
      <c r="AK24" s="173">
        <v>24966</v>
      </c>
      <c r="AL24" s="173"/>
      <c r="AM24" s="173"/>
      <c r="AN24" s="173"/>
      <c r="AO24" s="185">
        <f>SUM(AH24:AN24)</f>
        <v>308490</v>
      </c>
      <c r="AP24" s="192">
        <f>I24+Q24+Y24+AG24+AO24</f>
        <v>1613032</v>
      </c>
    </row>
    <row r="25" spans="1:42">
      <c r="A25" s="170" t="s">
        <v>12</v>
      </c>
      <c r="B25" s="172"/>
      <c r="C25" s="173"/>
      <c r="D25" s="173"/>
      <c r="E25" s="173"/>
      <c r="F25" s="173"/>
      <c r="G25" s="173"/>
      <c r="H25" s="173"/>
      <c r="I25" s="185">
        <f>SUM(B25:H25)</f>
        <v>0</v>
      </c>
      <c r="J25" s="173"/>
      <c r="K25" s="173"/>
      <c r="L25" s="173"/>
      <c r="M25" s="173"/>
      <c r="N25" s="173"/>
      <c r="O25" s="173"/>
      <c r="P25" s="173"/>
      <c r="Q25" s="185">
        <f>SUM(J25:P25)</f>
        <v>0</v>
      </c>
      <c r="R25" s="173"/>
      <c r="S25" s="173"/>
      <c r="T25" s="173"/>
      <c r="U25" s="173"/>
      <c r="V25" s="173"/>
      <c r="W25" s="173"/>
      <c r="X25" s="173"/>
      <c r="Y25" s="185">
        <f>SUM(R25:X25)</f>
        <v>0</v>
      </c>
      <c r="Z25" s="173"/>
      <c r="AA25" s="173"/>
      <c r="AB25" s="173"/>
      <c r="AC25" s="173"/>
      <c r="AD25" s="173"/>
      <c r="AE25" s="173"/>
      <c r="AF25" s="173"/>
      <c r="AG25" s="185">
        <f>SUM(Z25:AF25)</f>
        <v>0</v>
      </c>
      <c r="AH25" s="173"/>
      <c r="AI25" s="173"/>
      <c r="AJ25" s="173"/>
      <c r="AK25" s="173"/>
      <c r="AL25" s="173"/>
      <c r="AM25" s="173"/>
      <c r="AN25" s="173"/>
      <c r="AO25" s="185">
        <f>SUM(AH25:AN25)</f>
        <v>0</v>
      </c>
      <c r="AP25" s="192">
        <f t="shared" ref="AP25" si="17">I25+Q25+Y25+AG25+AO25</f>
        <v>0</v>
      </c>
    </row>
    <row r="26" spans="1:42" ht="15.75" thickBot="1">
      <c r="A26" s="174" t="s">
        <v>13</v>
      </c>
      <c r="B26" s="173">
        <v>0</v>
      </c>
      <c r="C26" s="173">
        <f>C29+C30</f>
        <v>3750</v>
      </c>
      <c r="D26" s="173">
        <f>D29+D30</f>
        <v>15964</v>
      </c>
      <c r="E26" s="173">
        <f t="shared" ref="E26:H26" si="18">E29+E30</f>
        <v>0</v>
      </c>
      <c r="F26" s="173">
        <f>F29+F30</f>
        <v>13118</v>
      </c>
      <c r="G26" s="173">
        <f t="shared" si="18"/>
        <v>0</v>
      </c>
      <c r="H26" s="173">
        <f t="shared" si="18"/>
        <v>0</v>
      </c>
      <c r="I26" s="185">
        <f>SUM(B26:H26)</f>
        <v>32832</v>
      </c>
      <c r="J26" s="173">
        <f>J29+J30</f>
        <v>0</v>
      </c>
      <c r="K26" s="173">
        <f t="shared" ref="K26:P26" si="19">K29+K30</f>
        <v>7160</v>
      </c>
      <c r="L26" s="173">
        <f t="shared" si="19"/>
        <v>22519</v>
      </c>
      <c r="M26" s="173">
        <f>M29+M30</f>
        <v>9440</v>
      </c>
      <c r="N26" s="173">
        <f t="shared" si="19"/>
        <v>12622</v>
      </c>
      <c r="O26" s="173">
        <f t="shared" si="19"/>
        <v>10280</v>
      </c>
      <c r="P26" s="173">
        <f t="shared" si="19"/>
        <v>0</v>
      </c>
      <c r="Q26" s="185">
        <f>SUM(J26:P26)</f>
        <v>62021</v>
      </c>
      <c r="R26" s="173">
        <f t="shared" ref="R26:W26" si="20">R29+R30</f>
        <v>8494</v>
      </c>
      <c r="S26" s="173">
        <f t="shared" si="20"/>
        <v>17401</v>
      </c>
      <c r="T26" s="173">
        <f t="shared" si="20"/>
        <v>8910</v>
      </c>
      <c r="U26" s="173">
        <f t="shared" si="20"/>
        <v>12621</v>
      </c>
      <c r="V26" s="173">
        <f t="shared" si="20"/>
        <v>14923</v>
      </c>
      <c r="W26" s="173">
        <f t="shared" si="20"/>
        <v>9370</v>
      </c>
      <c r="X26" s="173">
        <f t="shared" ref="X26" si="21">X29+X30</f>
        <v>0</v>
      </c>
      <c r="Y26" s="185">
        <f>SUM(R26:X26)</f>
        <v>71719</v>
      </c>
      <c r="Z26" s="173">
        <f>Z29+Z30</f>
        <v>8047</v>
      </c>
      <c r="AA26" s="173">
        <f t="shared" ref="AA26:AF26" si="22">AA29+AA30</f>
        <v>4250</v>
      </c>
      <c r="AB26" s="173">
        <f t="shared" si="22"/>
        <v>13322</v>
      </c>
      <c r="AC26" s="173">
        <f t="shared" si="22"/>
        <v>10790</v>
      </c>
      <c r="AD26" s="173">
        <f t="shared" si="22"/>
        <v>17930</v>
      </c>
      <c r="AE26" s="173">
        <f t="shared" si="22"/>
        <v>4380</v>
      </c>
      <c r="AF26" s="173">
        <f t="shared" si="22"/>
        <v>0</v>
      </c>
      <c r="AG26" s="185">
        <f>SUM(Z26:AF26)</f>
        <v>58719</v>
      </c>
      <c r="AH26" s="173">
        <f>AH29+AH30</f>
        <v>4430</v>
      </c>
      <c r="AI26" s="173">
        <f>AI29+AI30</f>
        <v>15767</v>
      </c>
      <c r="AJ26" s="173">
        <f>AJ29+AJ30</f>
        <v>25257</v>
      </c>
      <c r="AK26" s="173">
        <f>AK29+AK30</f>
        <v>13901</v>
      </c>
      <c r="AL26" s="173">
        <f>'P2'!AH22</f>
        <v>0</v>
      </c>
      <c r="AM26" s="173">
        <v>0</v>
      </c>
      <c r="AN26" s="173">
        <f>'P2'!AJ22</f>
        <v>0</v>
      </c>
      <c r="AO26" s="185">
        <f>SUM(AH26:AN26)</f>
        <v>59355</v>
      </c>
      <c r="AP26" s="192">
        <f>I26+Q26+Y26+AG26+AO26</f>
        <v>284646</v>
      </c>
    </row>
    <row r="27" spans="1:42" ht="15.75" thickBot="1">
      <c r="A27" s="164" t="s">
        <v>15</v>
      </c>
      <c r="B27" s="177" t="e">
        <f t="shared" ref="B27:I27" si="23">B26/B24</f>
        <v>#DIV/0!</v>
      </c>
      <c r="C27" s="177">
        <f t="shared" si="23"/>
        <v>0.18886930244270964</v>
      </c>
      <c r="D27" s="177">
        <f t="shared" si="23"/>
        <v>0.56017966173064782</v>
      </c>
      <c r="E27" s="177">
        <f t="shared" si="23"/>
        <v>0</v>
      </c>
      <c r="F27" s="177">
        <f t="shared" si="23"/>
        <v>0.25304295827626783</v>
      </c>
      <c r="G27" s="177" t="e">
        <f t="shared" si="23"/>
        <v>#DIV/0!</v>
      </c>
      <c r="H27" s="177" t="e">
        <f t="shared" si="23"/>
        <v>#DIV/0!</v>
      </c>
      <c r="I27" s="176">
        <f t="shared" si="23"/>
        <v>0.26397800183318054</v>
      </c>
      <c r="J27" s="177">
        <f t="shared" ref="J27:R27" si="24">J26/J24</f>
        <v>0</v>
      </c>
      <c r="K27" s="177">
        <f t="shared" si="24"/>
        <v>6.6620144219585953E-2</v>
      </c>
      <c r="L27" s="177">
        <f t="shared" si="24"/>
        <v>0.21514694080330188</v>
      </c>
      <c r="M27" s="177">
        <f t="shared" si="24"/>
        <v>7.2638852552363076E-2</v>
      </c>
      <c r="N27" s="177">
        <f t="shared" si="24"/>
        <v>0.20517572092720829</v>
      </c>
      <c r="O27" s="177">
        <f t="shared" si="24"/>
        <v>0.23316473496790582</v>
      </c>
      <c r="P27" s="177" t="e">
        <f t="shared" si="24"/>
        <v>#DIV/0!</v>
      </c>
      <c r="Q27" s="176">
        <f t="shared" si="24"/>
        <v>0.12084869410691877</v>
      </c>
      <c r="R27" s="177">
        <f t="shared" si="24"/>
        <v>0.11286657719547684</v>
      </c>
      <c r="S27" s="177">
        <f t="shared" ref="S27:Y27" si="25">S26/S24</f>
        <v>0.34417896277542626</v>
      </c>
      <c r="T27" s="177">
        <f t="shared" si="25"/>
        <v>0.19709337049571968</v>
      </c>
      <c r="U27" s="177">
        <f t="shared" si="25"/>
        <v>0.19283127836091121</v>
      </c>
      <c r="V27" s="177">
        <f t="shared" si="25"/>
        <v>0.16155853154196753</v>
      </c>
      <c r="W27" s="177" t="e">
        <f t="shared" si="25"/>
        <v>#DIV/0!</v>
      </c>
      <c r="X27" s="177" t="e">
        <f t="shared" si="25"/>
        <v>#DIV/0!</v>
      </c>
      <c r="Y27" s="176">
        <f t="shared" si="25"/>
        <v>0.21809562038912306</v>
      </c>
      <c r="Z27" s="177" t="e">
        <f t="shared" ref="Z27:AG27" si="26">Z26/Z24</f>
        <v>#DIV/0!</v>
      </c>
      <c r="AA27" s="177">
        <f t="shared" si="26"/>
        <v>4.4785870848086329E-2</v>
      </c>
      <c r="AB27" s="177">
        <f t="shared" si="26"/>
        <v>0.15762509317652071</v>
      </c>
      <c r="AC27" s="177">
        <f t="shared" si="26"/>
        <v>0.12177230046948356</v>
      </c>
      <c r="AD27" s="177">
        <f t="shared" si="26"/>
        <v>0.2558030045796299</v>
      </c>
      <c r="AE27" s="177" t="e">
        <f t="shared" si="26"/>
        <v>#DIV/0!</v>
      </c>
      <c r="AF27" s="177" t="e">
        <f t="shared" si="26"/>
        <v>#DIV/0!</v>
      </c>
      <c r="AG27" s="176">
        <f t="shared" si="26"/>
        <v>0.17366627823751751</v>
      </c>
      <c r="AH27" s="177">
        <f t="shared" ref="AH27:AP27" si="27">AH26/AH24</f>
        <v>4.4919894544717093E-2</v>
      </c>
      <c r="AI27" s="177">
        <f t="shared" si="27"/>
        <v>0.16665433521123782</v>
      </c>
      <c r="AJ27" s="177">
        <f t="shared" si="27"/>
        <v>0.27971648485519685</v>
      </c>
      <c r="AK27" s="177">
        <f t="shared" si="27"/>
        <v>0.55679724425218302</v>
      </c>
      <c r="AL27" s="177" t="e">
        <f t="shared" si="27"/>
        <v>#DIV/0!</v>
      </c>
      <c r="AM27" s="177" t="e">
        <f t="shared" si="27"/>
        <v>#DIV/0!</v>
      </c>
      <c r="AN27" s="177" t="e">
        <f t="shared" si="27"/>
        <v>#DIV/0!</v>
      </c>
      <c r="AO27" s="176">
        <f t="shared" si="27"/>
        <v>0.19240494019255081</v>
      </c>
      <c r="AP27" s="193">
        <f t="shared" si="27"/>
        <v>0.17646643092015535</v>
      </c>
    </row>
    <row r="28" spans="1:42">
      <c r="B28" s="178"/>
      <c r="C28" s="178"/>
      <c r="D28" s="178"/>
      <c r="E28" s="178"/>
      <c r="F28" s="178"/>
      <c r="G28" s="186"/>
      <c r="H28" s="178"/>
      <c r="I28" s="151"/>
      <c r="J28" s="178"/>
      <c r="K28" s="178"/>
      <c r="L28" s="178"/>
      <c r="M28" s="178"/>
      <c r="N28" s="178"/>
      <c r="O28" s="178"/>
      <c r="P28" s="188"/>
      <c r="Q28" s="151"/>
      <c r="R28" s="189"/>
      <c r="S28" s="189"/>
      <c r="T28" s="189"/>
      <c r="U28" s="189"/>
      <c r="V28" s="189"/>
      <c r="W28" s="189"/>
      <c r="X28" s="189"/>
      <c r="Y28" s="151"/>
      <c r="Z28" s="188"/>
      <c r="AA28" s="178"/>
      <c r="AB28" s="178"/>
      <c r="AC28" s="178"/>
      <c r="AD28" s="178"/>
      <c r="AE28" s="178"/>
      <c r="AF28" s="178"/>
      <c r="AG28" s="151"/>
      <c r="AH28" s="178"/>
      <c r="AI28" s="188"/>
      <c r="AJ28" s="189"/>
      <c r="AK28" s="189"/>
      <c r="AL28" s="189"/>
      <c r="AM28" s="189"/>
      <c r="AN28" s="189"/>
      <c r="AO28" s="151"/>
      <c r="AP28" s="47"/>
    </row>
    <row r="29" spans="1:42" s="161" customFormat="1">
      <c r="A29" s="303" t="s">
        <v>172</v>
      </c>
      <c r="B29" s="180"/>
      <c r="C29" s="180">
        <v>0</v>
      </c>
      <c r="D29" s="180">
        <v>8364</v>
      </c>
      <c r="E29" s="180">
        <v>0</v>
      </c>
      <c r="F29" s="180">
        <v>8348</v>
      </c>
      <c r="G29" s="180">
        <v>0</v>
      </c>
      <c r="H29" s="180">
        <v>0</v>
      </c>
      <c r="I29" s="179"/>
      <c r="J29" s="180">
        <v>0</v>
      </c>
      <c r="K29" s="180">
        <v>0</v>
      </c>
      <c r="L29" s="180">
        <v>8459</v>
      </c>
      <c r="M29" s="180">
        <v>0</v>
      </c>
      <c r="N29" s="180">
        <v>8382</v>
      </c>
      <c r="O29" s="180">
        <v>0</v>
      </c>
      <c r="P29" s="187">
        <v>0</v>
      </c>
      <c r="Q29" s="179"/>
      <c r="R29" s="180">
        <v>8494</v>
      </c>
      <c r="S29" s="180">
        <v>8451</v>
      </c>
      <c r="T29" s="180">
        <v>0</v>
      </c>
      <c r="U29" s="180">
        <v>8381</v>
      </c>
      <c r="V29" s="180">
        <v>0</v>
      </c>
      <c r="W29" s="180">
        <v>0</v>
      </c>
      <c r="X29" s="180">
        <v>0</v>
      </c>
      <c r="Y29" s="179"/>
      <c r="Z29" s="180">
        <v>8047</v>
      </c>
      <c r="AA29" s="180">
        <v>0</v>
      </c>
      <c r="AB29" s="180">
        <v>8332</v>
      </c>
      <c r="AC29" s="180">
        <v>0</v>
      </c>
      <c r="AD29" s="180">
        <v>8250</v>
      </c>
      <c r="AE29" s="180">
        <v>0</v>
      </c>
      <c r="AF29" s="180">
        <v>0</v>
      </c>
      <c r="AG29" s="179"/>
      <c r="AH29" s="180">
        <v>0</v>
      </c>
      <c r="AI29" s="180">
        <v>8017</v>
      </c>
      <c r="AJ29" s="180">
        <v>8407</v>
      </c>
      <c r="AK29" s="180">
        <v>8181</v>
      </c>
      <c r="AL29" s="180"/>
      <c r="AM29" s="180"/>
      <c r="AN29" s="180">
        <f>C29+D29+E29+F29+G29+H29+J29+K29+L29+M29+N29+O29+P29+R29+S29+T29+U29+V29+W29+X29+Z29+AA29+AB29+AC29+AD29+AE29+AF29+AH29+AI29+AJ29+AK29</f>
        <v>108113</v>
      </c>
      <c r="AO29" s="195" t="s">
        <v>17</v>
      </c>
    </row>
    <row r="30" spans="1:42" s="161" customFormat="1">
      <c r="A30" s="303" t="s">
        <v>173</v>
      </c>
      <c r="B30" s="160"/>
      <c r="C30" s="182">
        <v>3750</v>
      </c>
      <c r="D30" s="160">
        <v>7600</v>
      </c>
      <c r="E30" s="160">
        <v>0</v>
      </c>
      <c r="F30" s="182">
        <v>4770</v>
      </c>
      <c r="G30" s="182">
        <v>0</v>
      </c>
      <c r="H30" s="182">
        <v>0</v>
      </c>
      <c r="I30" s="181"/>
      <c r="J30" s="182">
        <v>0</v>
      </c>
      <c r="K30" s="182">
        <v>7160</v>
      </c>
      <c r="L30" s="160">
        <v>14060</v>
      </c>
      <c r="M30" s="160">
        <v>9440</v>
      </c>
      <c r="N30" s="182">
        <v>4240</v>
      </c>
      <c r="O30" s="182">
        <v>10280</v>
      </c>
      <c r="P30" s="160">
        <v>0</v>
      </c>
      <c r="Q30" s="181"/>
      <c r="R30" s="160">
        <v>0</v>
      </c>
      <c r="S30" s="160">
        <v>8950</v>
      </c>
      <c r="T30" s="160">
        <v>8910</v>
      </c>
      <c r="U30" s="160">
        <v>4240</v>
      </c>
      <c r="V30" s="160">
        <v>14923</v>
      </c>
      <c r="W30" s="160">
        <v>9370</v>
      </c>
      <c r="X30" s="160">
        <v>0</v>
      </c>
      <c r="Y30" s="181"/>
      <c r="Z30" s="160">
        <v>0</v>
      </c>
      <c r="AA30" s="160">
        <v>4250</v>
      </c>
      <c r="AB30" s="160">
        <v>4990</v>
      </c>
      <c r="AC30" s="160">
        <v>10790</v>
      </c>
      <c r="AD30" s="160">
        <v>9680</v>
      </c>
      <c r="AE30" s="160">
        <v>4380</v>
      </c>
      <c r="AF30" s="160">
        <v>0</v>
      </c>
      <c r="AG30" s="181"/>
      <c r="AH30" s="160">
        <v>4430</v>
      </c>
      <c r="AI30" s="160">
        <v>7750</v>
      </c>
      <c r="AJ30" s="160">
        <v>16850</v>
      </c>
      <c r="AK30" s="160">
        <v>5720</v>
      </c>
      <c r="AL30" s="190"/>
      <c r="AM30" s="160"/>
      <c r="AN30" s="180">
        <f>C30+D30+E30+F30+G30+H30+J30+K30+L30+M30+N30+O30+P30+R30+S30+T30+U30+V30+W30+X30+Z30+AA30+AB30+AC30+AD30+AE30+AF30+AH30+AI30+AJ30+AK30</f>
        <v>176533</v>
      </c>
      <c r="AO30" s="194" t="s">
        <v>16</v>
      </c>
      <c r="AP30" s="196"/>
    </row>
    <row r="31" spans="1:42" ht="15.75" thickBot="1">
      <c r="A31" s="304" t="s">
        <v>20</v>
      </c>
      <c r="B31" s="163" t="s">
        <v>3</v>
      </c>
      <c r="C31" s="163" t="s">
        <v>4</v>
      </c>
      <c r="D31" s="163" t="s">
        <v>4</v>
      </c>
      <c r="E31" s="163" t="s">
        <v>5</v>
      </c>
      <c r="F31" s="163" t="s">
        <v>6</v>
      </c>
      <c r="G31" s="163" t="s">
        <v>7</v>
      </c>
      <c r="H31" s="163" t="s">
        <v>2</v>
      </c>
      <c r="I31" s="163"/>
      <c r="J31" s="163" t="s">
        <v>3</v>
      </c>
      <c r="K31" s="163" t="s">
        <v>4</v>
      </c>
      <c r="L31" s="163" t="s">
        <v>4</v>
      </c>
      <c r="M31" s="163" t="s">
        <v>5</v>
      </c>
      <c r="N31" s="163" t="s">
        <v>6</v>
      </c>
      <c r="O31" s="163" t="s">
        <v>7</v>
      </c>
      <c r="P31" s="163" t="s">
        <v>2</v>
      </c>
      <c r="Q31" s="163"/>
      <c r="R31" s="163" t="s">
        <v>3</v>
      </c>
      <c r="S31" s="163" t="s">
        <v>4</v>
      </c>
      <c r="T31" s="163" t="s">
        <v>4</v>
      </c>
      <c r="U31" s="163" t="s">
        <v>5</v>
      </c>
      <c r="V31" s="163" t="s">
        <v>6</v>
      </c>
      <c r="W31" s="163" t="s">
        <v>7</v>
      </c>
      <c r="X31" s="163" t="s">
        <v>2</v>
      </c>
      <c r="Y31" s="163"/>
      <c r="Z31" s="163" t="s">
        <v>3</v>
      </c>
      <c r="AA31" s="163" t="s">
        <v>4</v>
      </c>
      <c r="AB31" s="163" t="s">
        <v>4</v>
      </c>
      <c r="AC31" s="163" t="s">
        <v>5</v>
      </c>
      <c r="AD31" s="163" t="s">
        <v>6</v>
      </c>
      <c r="AE31" s="163" t="s">
        <v>7</v>
      </c>
      <c r="AF31" s="163" t="s">
        <v>2</v>
      </c>
      <c r="AG31" s="163"/>
      <c r="AH31" s="163" t="s">
        <v>3</v>
      </c>
      <c r="AI31" s="163" t="s">
        <v>4</v>
      </c>
      <c r="AJ31" s="163" t="s">
        <v>4</v>
      </c>
      <c r="AK31" s="163" t="s">
        <v>5</v>
      </c>
      <c r="AL31" s="163" t="s">
        <v>6</v>
      </c>
      <c r="AM31" s="163" t="s">
        <v>7</v>
      </c>
      <c r="AN31" s="163" t="s">
        <v>2</v>
      </c>
      <c r="AO31" s="151"/>
      <c r="AP31" s="47"/>
    </row>
    <row r="32" spans="1:42" ht="15.75" thickBot="1">
      <c r="A32" s="164" t="s">
        <v>8</v>
      </c>
      <c r="B32" s="168"/>
      <c r="C32" s="168"/>
      <c r="D32" s="168"/>
      <c r="E32" s="169"/>
      <c r="F32" s="169">
        <v>44652</v>
      </c>
      <c r="G32" s="169">
        <v>44653</v>
      </c>
      <c r="H32" s="169">
        <v>44654</v>
      </c>
      <c r="I32" s="166" t="s">
        <v>9</v>
      </c>
      <c r="J32" s="169">
        <v>44655</v>
      </c>
      <c r="K32" s="169">
        <v>44656</v>
      </c>
      <c r="L32" s="169">
        <v>44657</v>
      </c>
      <c r="M32" s="169">
        <v>44658</v>
      </c>
      <c r="N32" s="169">
        <v>44659</v>
      </c>
      <c r="O32" s="169">
        <v>44660</v>
      </c>
      <c r="P32" s="169">
        <v>44661</v>
      </c>
      <c r="Q32" s="166" t="s">
        <v>9</v>
      </c>
      <c r="R32" s="169">
        <v>44662</v>
      </c>
      <c r="S32" s="169">
        <v>44663</v>
      </c>
      <c r="T32" s="169">
        <v>44664</v>
      </c>
      <c r="U32" s="169">
        <v>44665</v>
      </c>
      <c r="V32" s="169">
        <v>44666</v>
      </c>
      <c r="W32" s="169">
        <v>44667</v>
      </c>
      <c r="X32" s="169">
        <v>44668</v>
      </c>
      <c r="Y32" s="166" t="s">
        <v>9</v>
      </c>
      <c r="Z32" s="169">
        <v>44669</v>
      </c>
      <c r="AA32" s="169">
        <v>44670</v>
      </c>
      <c r="AB32" s="169">
        <v>44671</v>
      </c>
      <c r="AC32" s="169">
        <v>44672</v>
      </c>
      <c r="AD32" s="169">
        <v>44673</v>
      </c>
      <c r="AE32" s="169">
        <v>44674</v>
      </c>
      <c r="AF32" s="169">
        <v>44675</v>
      </c>
      <c r="AG32" s="166" t="s">
        <v>9</v>
      </c>
      <c r="AH32" s="169">
        <v>44676</v>
      </c>
      <c r="AI32" s="169">
        <v>44677</v>
      </c>
      <c r="AJ32" s="169">
        <v>44678</v>
      </c>
      <c r="AK32" s="169">
        <v>44679</v>
      </c>
      <c r="AL32" s="169">
        <v>44680</v>
      </c>
      <c r="AM32" s="169">
        <v>44681</v>
      </c>
      <c r="AN32" s="169"/>
      <c r="AO32" s="166" t="s">
        <v>9</v>
      </c>
      <c r="AP32" s="191" t="s">
        <v>10</v>
      </c>
    </row>
    <row r="33" spans="1:42">
      <c r="A33" s="170" t="s">
        <v>11</v>
      </c>
      <c r="B33" s="172"/>
      <c r="C33" s="173"/>
      <c r="D33" s="173"/>
      <c r="E33" s="173"/>
      <c r="F33" s="173">
        <v>66839</v>
      </c>
      <c r="G33" s="173">
        <v>84535</v>
      </c>
      <c r="H33" s="173">
        <v>0</v>
      </c>
      <c r="I33" s="185">
        <f>SUM(B33:H33)</f>
        <v>151374</v>
      </c>
      <c r="J33" s="173">
        <v>0</v>
      </c>
      <c r="K33" s="173">
        <v>21398</v>
      </c>
      <c r="L33" s="173">
        <v>28514</v>
      </c>
      <c r="M33" s="173">
        <v>70623</v>
      </c>
      <c r="N33" s="173">
        <v>100619</v>
      </c>
      <c r="O33" s="173">
        <v>102208</v>
      </c>
      <c r="P33" s="173">
        <v>0</v>
      </c>
      <c r="Q33" s="185">
        <f>SUM(J33:P33)</f>
        <v>323362</v>
      </c>
      <c r="R33" s="173">
        <v>76247</v>
      </c>
      <c r="S33" s="173">
        <v>76895</v>
      </c>
      <c r="T33" s="173">
        <v>94502</v>
      </c>
      <c r="U33" s="173">
        <v>125285</v>
      </c>
      <c r="V33" s="173">
        <v>70389</v>
      </c>
      <c r="W33" s="173">
        <v>86242</v>
      </c>
      <c r="X33" s="173">
        <v>0</v>
      </c>
      <c r="Y33" s="185">
        <f>SUM(R33:X33)</f>
        <v>529560</v>
      </c>
      <c r="Z33" s="173">
        <v>107307</v>
      </c>
      <c r="AA33" s="173">
        <v>111696</v>
      </c>
      <c r="AB33" s="173">
        <v>94392</v>
      </c>
      <c r="AC33" s="173">
        <v>82693</v>
      </c>
      <c r="AD33" s="173">
        <v>77590</v>
      </c>
      <c r="AE33" s="173">
        <v>0</v>
      </c>
      <c r="AF33" s="173">
        <v>0</v>
      </c>
      <c r="AG33" s="185">
        <f>SUM(Z33:AF33)</f>
        <v>473678</v>
      </c>
      <c r="AH33" s="173">
        <v>59880</v>
      </c>
      <c r="AI33" s="173">
        <v>88153</v>
      </c>
      <c r="AJ33" s="173">
        <v>105457</v>
      </c>
      <c r="AK33" s="173">
        <v>98777</v>
      </c>
      <c r="AL33" s="173">
        <v>77452</v>
      </c>
      <c r="AM33" s="173">
        <v>68714</v>
      </c>
      <c r="AN33" s="173"/>
      <c r="AO33" s="185">
        <f>SUM(AH33:AM33)</f>
        <v>498433</v>
      </c>
      <c r="AP33" s="192">
        <f>I33+Q33+Y33+AG33+AO33</f>
        <v>1976407</v>
      </c>
    </row>
    <row r="34" spans="1:42">
      <c r="A34" s="170" t="s">
        <v>12</v>
      </c>
      <c r="B34" s="172"/>
      <c r="C34" s="173"/>
      <c r="D34" s="173"/>
      <c r="E34" s="173"/>
      <c r="F34" s="173"/>
      <c r="G34" s="173"/>
      <c r="H34" s="173"/>
      <c r="I34" s="185">
        <f>SUM(B34:H34)</f>
        <v>0</v>
      </c>
      <c r="J34" s="173"/>
      <c r="K34" s="173"/>
      <c r="L34" s="173"/>
      <c r="M34" s="173"/>
      <c r="N34" s="173"/>
      <c r="O34" s="173"/>
      <c r="P34" s="173"/>
      <c r="Q34" s="185">
        <f>SUM(J34:P34)</f>
        <v>0</v>
      </c>
      <c r="R34" s="173"/>
      <c r="S34" s="173"/>
      <c r="T34" s="173"/>
      <c r="U34" s="173"/>
      <c r="V34" s="173"/>
      <c r="W34" s="173"/>
      <c r="X34" s="173"/>
      <c r="Y34" s="185">
        <f>SUM(R34:X34)</f>
        <v>0</v>
      </c>
      <c r="Z34" s="173"/>
      <c r="AA34" s="173"/>
      <c r="AB34" s="173"/>
      <c r="AC34" s="173"/>
      <c r="AD34" s="173"/>
      <c r="AE34" s="173"/>
      <c r="AF34" s="173"/>
      <c r="AG34" s="185">
        <f>SUM(Z34:AF34)</f>
        <v>0</v>
      </c>
      <c r="AH34" s="173"/>
      <c r="AI34" s="173"/>
      <c r="AJ34" s="173"/>
      <c r="AK34" s="173"/>
      <c r="AL34" s="173"/>
      <c r="AM34" s="173"/>
      <c r="AN34" s="173"/>
      <c r="AO34" s="185">
        <f>SUM(AH34:AM34)</f>
        <v>0</v>
      </c>
      <c r="AP34" s="192">
        <f>I34+Q34+Y34+AG34+AO34</f>
        <v>0</v>
      </c>
    </row>
    <row r="35" spans="1:42" ht="15.75" thickBot="1">
      <c r="A35" s="174" t="s">
        <v>13</v>
      </c>
      <c r="B35" s="173"/>
      <c r="C35" s="173"/>
      <c r="D35" s="173"/>
      <c r="E35" s="173">
        <f>'P2'!B30</f>
        <v>0</v>
      </c>
      <c r="F35" s="173">
        <f>F38+F39</f>
        <v>4237</v>
      </c>
      <c r="G35" s="173">
        <f t="shared" ref="G35" si="28">G38+G39</f>
        <v>3440</v>
      </c>
      <c r="H35" s="173">
        <f>H38+H39</f>
        <v>0</v>
      </c>
      <c r="I35" s="185">
        <f>SUM(B35:H35)</f>
        <v>7677</v>
      </c>
      <c r="J35" s="173">
        <f>J38+J39</f>
        <v>16594</v>
      </c>
      <c r="K35" s="173">
        <f>K38+K39</f>
        <v>17665</v>
      </c>
      <c r="L35" s="173">
        <f>L38+L39</f>
        <v>9650</v>
      </c>
      <c r="M35" s="173">
        <f>M38+M39</f>
        <v>15686</v>
      </c>
      <c r="N35" s="173">
        <f t="shared" ref="N35:P35" si="29">N38+N39</f>
        <v>7310</v>
      </c>
      <c r="O35" s="173">
        <f t="shared" si="29"/>
        <v>15917</v>
      </c>
      <c r="P35" s="173">
        <f t="shared" si="29"/>
        <v>0</v>
      </c>
      <c r="Q35" s="185">
        <f>SUM(J35:P35)</f>
        <v>82822</v>
      </c>
      <c r="R35" s="173">
        <f>R38+R39</f>
        <v>17440</v>
      </c>
      <c r="S35" s="173">
        <f t="shared" ref="S35:X35" si="30">S38+S39</f>
        <v>12100</v>
      </c>
      <c r="T35" s="173">
        <f t="shared" si="30"/>
        <v>17155</v>
      </c>
      <c r="U35" s="173">
        <f t="shared" si="30"/>
        <v>16836</v>
      </c>
      <c r="V35" s="173">
        <f t="shared" si="30"/>
        <v>14797</v>
      </c>
      <c r="W35" s="173">
        <f>W38+W39</f>
        <v>8300</v>
      </c>
      <c r="X35" s="173">
        <f t="shared" si="30"/>
        <v>0</v>
      </c>
      <c r="Y35" s="185">
        <f>SUM(R35:X35)</f>
        <v>86628</v>
      </c>
      <c r="Z35" s="173">
        <f>Z38+Z39</f>
        <v>11675</v>
      </c>
      <c r="AA35" s="173">
        <f t="shared" ref="AA35:AF35" si="31">AA38+AA39</f>
        <v>13434</v>
      </c>
      <c r="AB35" s="173">
        <f t="shared" si="31"/>
        <v>8620</v>
      </c>
      <c r="AC35" s="173">
        <f t="shared" si="31"/>
        <v>16343</v>
      </c>
      <c r="AD35" s="173">
        <f t="shared" si="31"/>
        <v>17147</v>
      </c>
      <c r="AE35" s="173">
        <f t="shared" si="31"/>
        <v>4860</v>
      </c>
      <c r="AF35" s="173">
        <f t="shared" si="31"/>
        <v>0</v>
      </c>
      <c r="AG35" s="185">
        <f>SUM(Z35:AF35)</f>
        <v>72079</v>
      </c>
      <c r="AH35" s="173">
        <f>AH38+AH39</f>
        <v>0</v>
      </c>
      <c r="AI35" s="173">
        <f>AI38+AI39</f>
        <v>21166</v>
      </c>
      <c r="AJ35" s="173">
        <f t="shared" ref="AJ35:AM35" si="32">AJ38+AJ39</f>
        <v>13565</v>
      </c>
      <c r="AK35" s="173">
        <f t="shared" si="32"/>
        <v>8630</v>
      </c>
      <c r="AL35" s="173">
        <f t="shared" si="32"/>
        <v>26343</v>
      </c>
      <c r="AM35" s="173">
        <f t="shared" si="32"/>
        <v>9500</v>
      </c>
      <c r="AN35" s="173"/>
      <c r="AO35" s="185">
        <f>SUM(AH35:AM35)</f>
        <v>79204</v>
      </c>
      <c r="AP35" s="192">
        <f>I35+Q35+Y35+AG35+AO35</f>
        <v>328410</v>
      </c>
    </row>
    <row r="36" spans="1:42" ht="15.75" thickBot="1">
      <c r="A36" s="164" t="s">
        <v>15</v>
      </c>
      <c r="B36" s="177" t="e">
        <f t="shared" ref="B36:I36" si="33">B35/B33</f>
        <v>#DIV/0!</v>
      </c>
      <c r="C36" s="177" t="e">
        <f t="shared" si="33"/>
        <v>#DIV/0!</v>
      </c>
      <c r="D36" s="177" t="e">
        <f t="shared" si="33"/>
        <v>#DIV/0!</v>
      </c>
      <c r="E36" s="177" t="e">
        <f t="shared" si="33"/>
        <v>#DIV/0!</v>
      </c>
      <c r="F36" s="177">
        <f t="shared" si="33"/>
        <v>6.3391133918819856E-2</v>
      </c>
      <c r="G36" s="177">
        <f t="shared" si="33"/>
        <v>4.0693203998343884E-2</v>
      </c>
      <c r="H36" s="177" t="e">
        <f t="shared" si="33"/>
        <v>#DIV/0!</v>
      </c>
      <c r="I36" s="176">
        <f t="shared" si="33"/>
        <v>5.071544650996869E-2</v>
      </c>
      <c r="J36" s="177" t="e">
        <f t="shared" ref="J36:R36" si="34">J35/J33</f>
        <v>#DIV/0!</v>
      </c>
      <c r="K36" s="177">
        <f t="shared" si="34"/>
        <v>0.82554444340592581</v>
      </c>
      <c r="L36" s="177">
        <f t="shared" si="34"/>
        <v>0.33843024479203199</v>
      </c>
      <c r="M36" s="177">
        <f t="shared" si="34"/>
        <v>0.22210894467807937</v>
      </c>
      <c r="N36" s="177">
        <f t="shared" si="34"/>
        <v>7.2650294675955837E-2</v>
      </c>
      <c r="O36" s="177">
        <f t="shared" si="34"/>
        <v>0.15573144959298685</v>
      </c>
      <c r="P36" s="177" t="e">
        <f t="shared" si="34"/>
        <v>#DIV/0!</v>
      </c>
      <c r="Q36" s="176">
        <f t="shared" si="34"/>
        <v>0.25612780722533879</v>
      </c>
      <c r="R36" s="177">
        <f t="shared" si="34"/>
        <v>0.2287303107007489</v>
      </c>
      <c r="S36" s="177">
        <f t="shared" ref="S36:Y36" si="35">S35/S33</f>
        <v>0.15735743546394435</v>
      </c>
      <c r="T36" s="177">
        <f t="shared" si="35"/>
        <v>0.1815305496179975</v>
      </c>
      <c r="U36" s="177">
        <f t="shared" si="35"/>
        <v>0.13438160992936105</v>
      </c>
      <c r="V36" s="177">
        <f t="shared" si="35"/>
        <v>0.21021750557615537</v>
      </c>
      <c r="W36" s="177">
        <f t="shared" si="35"/>
        <v>9.6240810741865912E-2</v>
      </c>
      <c r="X36" s="177" t="e">
        <f t="shared" si="35"/>
        <v>#DIV/0!</v>
      </c>
      <c r="Y36" s="176">
        <f t="shared" si="35"/>
        <v>0.16358486290505325</v>
      </c>
      <c r="Z36" s="177">
        <f t="shared" ref="Z36:AG36" si="36">Z35/Z33</f>
        <v>0.10879998508950954</v>
      </c>
      <c r="AA36" s="177">
        <f t="shared" si="36"/>
        <v>0.12027288354103996</v>
      </c>
      <c r="AB36" s="177">
        <f t="shared" si="36"/>
        <v>9.132129841511992E-2</v>
      </c>
      <c r="AC36" s="177">
        <f t="shared" si="36"/>
        <v>0.19763462445430691</v>
      </c>
      <c r="AD36" s="177">
        <f t="shared" si="36"/>
        <v>0.22099497357906947</v>
      </c>
      <c r="AE36" s="177" t="e">
        <f t="shared" si="36"/>
        <v>#DIV/0!</v>
      </c>
      <c r="AF36" s="177" t="e">
        <f t="shared" si="36"/>
        <v>#DIV/0!</v>
      </c>
      <c r="AG36" s="176">
        <f t="shared" si="36"/>
        <v>0.15216877287946665</v>
      </c>
      <c r="AH36" s="177">
        <f t="shared" ref="AH36:AN36" si="37">AH35/AH33</f>
        <v>0</v>
      </c>
      <c r="AI36" s="177">
        <f t="shared" si="37"/>
        <v>0.2401052715165678</v>
      </c>
      <c r="AJ36" s="177">
        <f t="shared" si="37"/>
        <v>0.12863062670093023</v>
      </c>
      <c r="AK36" s="177">
        <f t="shared" si="37"/>
        <v>8.7368516962450779E-2</v>
      </c>
      <c r="AL36" s="177">
        <f t="shared" si="37"/>
        <v>0.34012033259308994</v>
      </c>
      <c r="AM36" s="177">
        <f t="shared" si="37"/>
        <v>0.13825421311523126</v>
      </c>
      <c r="AN36" s="177" t="e">
        <f t="shared" si="37"/>
        <v>#DIV/0!</v>
      </c>
      <c r="AO36" s="176">
        <f>AO35/AO33</f>
        <v>0.1589060114398525</v>
      </c>
      <c r="AP36" s="193">
        <f>AP35/AP33</f>
        <v>0.16616516739720108</v>
      </c>
    </row>
    <row r="37" spans="1:42" s="161" customFormat="1">
      <c r="B37" s="178"/>
      <c r="C37" s="178"/>
      <c r="D37" s="178"/>
      <c r="E37" s="178"/>
      <c r="F37" s="178"/>
      <c r="G37" s="186"/>
      <c r="H37" s="178"/>
      <c r="I37" s="151"/>
      <c r="J37" s="178"/>
      <c r="K37" s="178"/>
      <c r="L37" s="178"/>
      <c r="M37" s="178"/>
      <c r="N37" s="178"/>
      <c r="O37" s="178"/>
      <c r="P37" s="188"/>
      <c r="Q37" s="151"/>
      <c r="R37" s="189"/>
      <c r="S37" s="189"/>
      <c r="T37" s="189"/>
      <c r="U37" s="189"/>
      <c r="V37" s="189"/>
      <c r="W37" s="189"/>
      <c r="X37" s="189"/>
      <c r="Y37" s="151"/>
      <c r="Z37" s="188"/>
      <c r="AA37" s="178"/>
      <c r="AB37" s="178"/>
      <c r="AC37" s="178"/>
      <c r="AD37" s="178"/>
      <c r="AE37" s="178"/>
      <c r="AF37" s="178"/>
      <c r="AG37" s="151"/>
      <c r="AH37" s="178"/>
      <c r="AI37" s="188"/>
      <c r="AJ37" s="189"/>
      <c r="AK37" s="189"/>
      <c r="AL37" s="189"/>
      <c r="AM37" s="189"/>
      <c r="AN37" s="189"/>
      <c r="AO37" s="151"/>
      <c r="AP37" s="47"/>
    </row>
    <row r="38" spans="1:42" s="160" customFormat="1">
      <c r="A38" s="181" t="s">
        <v>17</v>
      </c>
      <c r="B38" s="180"/>
      <c r="C38" s="180"/>
      <c r="D38" s="180"/>
      <c r="E38" s="180"/>
      <c r="F38" s="180">
        <v>0</v>
      </c>
      <c r="G38" s="180">
        <v>0</v>
      </c>
      <c r="H38" s="180">
        <v>0</v>
      </c>
      <c r="I38" s="179"/>
      <c r="J38" s="180">
        <v>8403</v>
      </c>
      <c r="K38" s="180">
        <v>8405</v>
      </c>
      <c r="L38" s="180">
        <v>0</v>
      </c>
      <c r="M38" s="180">
        <v>8666</v>
      </c>
      <c r="N38" s="180">
        <v>0</v>
      </c>
      <c r="O38" s="180">
        <v>7987</v>
      </c>
      <c r="P38" s="180">
        <v>0</v>
      </c>
      <c r="Q38" s="179"/>
      <c r="R38" s="180">
        <v>8390</v>
      </c>
      <c r="S38" s="180">
        <v>0</v>
      </c>
      <c r="T38" s="180">
        <v>8515</v>
      </c>
      <c r="U38" s="180">
        <v>8546</v>
      </c>
      <c r="V38" s="180">
        <v>8327</v>
      </c>
      <c r="W38" s="180">
        <v>0</v>
      </c>
      <c r="X38" s="180">
        <v>0</v>
      </c>
      <c r="Y38" s="179"/>
      <c r="Z38" s="187">
        <v>8715</v>
      </c>
      <c r="AA38" s="180">
        <v>8314</v>
      </c>
      <c r="AB38" s="180">
        <v>0</v>
      </c>
      <c r="AC38" s="180">
        <v>8633</v>
      </c>
      <c r="AD38" s="180">
        <v>8607</v>
      </c>
      <c r="AE38" s="180">
        <v>0</v>
      </c>
      <c r="AF38" s="180">
        <v>0</v>
      </c>
      <c r="AG38" s="179"/>
      <c r="AH38" s="180">
        <v>0</v>
      </c>
      <c r="AI38" s="180">
        <v>8421</v>
      </c>
      <c r="AJ38" s="180">
        <v>8445</v>
      </c>
      <c r="AK38" s="180">
        <v>0</v>
      </c>
      <c r="AL38" s="180">
        <v>17043</v>
      </c>
      <c r="AM38" s="180">
        <v>0</v>
      </c>
      <c r="AN38" s="180">
        <f>F38+G38+H38+J38+K38+L38+M38+N38+O38+P38+R38+S38+T38+U38+V38+W38+X38+Z38+AA38+AB38+AC38+AD38+AE38+AF38+AH38+AI38+AJ38+AK38+AL38+AM38</f>
        <v>135417</v>
      </c>
      <c r="AO38" s="195" t="s">
        <v>17</v>
      </c>
    </row>
    <row r="39" spans="1:42" s="160" customFormat="1">
      <c r="A39" s="179" t="s">
        <v>16</v>
      </c>
      <c r="C39" s="182"/>
      <c r="F39" s="182">
        <v>4237</v>
      </c>
      <c r="G39" s="182">
        <v>3440</v>
      </c>
      <c r="H39" s="182">
        <v>0</v>
      </c>
      <c r="I39" s="181"/>
      <c r="J39" s="182">
        <v>8191</v>
      </c>
      <c r="K39" s="182">
        <v>9260</v>
      </c>
      <c r="L39" s="160">
        <v>9650</v>
      </c>
      <c r="M39" s="160">
        <v>7020</v>
      </c>
      <c r="N39" s="182">
        <v>7310</v>
      </c>
      <c r="O39" s="182">
        <v>7930</v>
      </c>
      <c r="P39" s="160">
        <v>0</v>
      </c>
      <c r="Q39" s="181"/>
      <c r="R39" s="160">
        <v>9050</v>
      </c>
      <c r="S39" s="160">
        <v>12100</v>
      </c>
      <c r="T39" s="160">
        <v>8640</v>
      </c>
      <c r="U39" s="160">
        <v>8290</v>
      </c>
      <c r="V39" s="160">
        <v>6470</v>
      </c>
      <c r="W39" s="160">
        <v>8300</v>
      </c>
      <c r="X39" s="160">
        <v>0</v>
      </c>
      <c r="Y39" s="181"/>
      <c r="Z39" s="160">
        <v>2960</v>
      </c>
      <c r="AA39" s="160">
        <v>5120</v>
      </c>
      <c r="AB39" s="160">
        <v>8620</v>
      </c>
      <c r="AC39" s="160">
        <v>7710</v>
      </c>
      <c r="AD39" s="160">
        <v>8540</v>
      </c>
      <c r="AE39" s="160">
        <v>4860</v>
      </c>
      <c r="AF39" s="160">
        <v>0</v>
      </c>
      <c r="AG39" s="181"/>
      <c r="AH39" s="160">
        <v>0</v>
      </c>
      <c r="AI39" s="160">
        <v>12745</v>
      </c>
      <c r="AJ39" s="160">
        <v>5120</v>
      </c>
      <c r="AK39" s="160">
        <v>8630</v>
      </c>
      <c r="AL39" s="190">
        <v>9300</v>
      </c>
      <c r="AM39" s="160">
        <v>9500</v>
      </c>
      <c r="AN39" s="180">
        <f>F39+G39+H39+J39+K39+L39+M39+N39+O39+P39+R39+S39+T39+U39+V39+W39+X39+Z39+AA39+AB39+AC39+AD39+AE39+AF39+AH39+AI39+AJ39+AK39+AL39+AM39</f>
        <v>192993</v>
      </c>
      <c r="AO39" s="194" t="s">
        <v>16</v>
      </c>
      <c r="AP39" s="196"/>
    </row>
    <row r="40" spans="1:42" s="161" customFormat="1" ht="15.75" thickBot="1">
      <c r="A40" s="310" t="s">
        <v>21</v>
      </c>
      <c r="B40" s="163" t="s">
        <v>3</v>
      </c>
      <c r="C40" s="163" t="s">
        <v>4</v>
      </c>
      <c r="D40" s="163" t="s">
        <v>4</v>
      </c>
      <c r="E40" s="163" t="s">
        <v>5</v>
      </c>
      <c r="F40" s="163" t="s">
        <v>6</v>
      </c>
      <c r="G40" s="163" t="s">
        <v>7</v>
      </c>
      <c r="H40" s="163" t="s">
        <v>2</v>
      </c>
      <c r="I40" s="163"/>
      <c r="J40" s="163" t="s">
        <v>3</v>
      </c>
      <c r="K40" s="163" t="s">
        <v>4</v>
      </c>
      <c r="L40" s="163" t="s">
        <v>4</v>
      </c>
      <c r="M40" s="163" t="s">
        <v>5</v>
      </c>
      <c r="N40" s="163" t="s">
        <v>6</v>
      </c>
      <c r="O40" s="163" t="s">
        <v>7</v>
      </c>
      <c r="P40" s="163" t="s">
        <v>2</v>
      </c>
      <c r="Q40" s="163"/>
      <c r="R40" s="163" t="s">
        <v>3</v>
      </c>
      <c r="S40" s="163" t="s">
        <v>4</v>
      </c>
      <c r="T40" s="163" t="s">
        <v>4</v>
      </c>
      <c r="U40" s="163" t="s">
        <v>5</v>
      </c>
      <c r="V40" s="163" t="s">
        <v>6</v>
      </c>
      <c r="W40" s="163" t="s">
        <v>7</v>
      </c>
      <c r="X40" s="163" t="s">
        <v>2</v>
      </c>
      <c r="Y40" s="163"/>
      <c r="Z40" s="163" t="s">
        <v>3</v>
      </c>
      <c r="AA40" s="163" t="s">
        <v>4</v>
      </c>
      <c r="AB40" s="163" t="s">
        <v>4</v>
      </c>
      <c r="AC40" s="163" t="s">
        <v>5</v>
      </c>
      <c r="AD40" s="163" t="s">
        <v>6</v>
      </c>
      <c r="AE40" s="163" t="s">
        <v>7</v>
      </c>
      <c r="AF40" s="163" t="s">
        <v>2</v>
      </c>
      <c r="AG40" s="163"/>
      <c r="AH40" s="163" t="s">
        <v>3</v>
      </c>
      <c r="AI40" s="163" t="s">
        <v>4</v>
      </c>
      <c r="AJ40" s="163" t="s">
        <v>4</v>
      </c>
      <c r="AK40" s="163" t="s">
        <v>5</v>
      </c>
      <c r="AL40" s="163" t="s">
        <v>6</v>
      </c>
      <c r="AM40" s="163" t="s">
        <v>7</v>
      </c>
      <c r="AN40" s="163" t="s">
        <v>2</v>
      </c>
      <c r="AO40" s="184"/>
    </row>
    <row r="41" spans="1:42" ht="15.75" thickBot="1">
      <c r="A41" s="164" t="s">
        <v>8</v>
      </c>
      <c r="B41" s="169">
        <v>44683</v>
      </c>
      <c r="C41" s="169">
        <v>44684</v>
      </c>
      <c r="D41" s="169">
        <v>44685</v>
      </c>
      <c r="E41" s="169">
        <v>44686</v>
      </c>
      <c r="F41" s="169">
        <v>44687</v>
      </c>
      <c r="G41" s="169">
        <v>44688</v>
      </c>
      <c r="H41" s="169">
        <v>44689</v>
      </c>
      <c r="I41" s="166" t="s">
        <v>9</v>
      </c>
      <c r="J41" s="169">
        <v>44690</v>
      </c>
      <c r="K41" s="169">
        <v>44691</v>
      </c>
      <c r="L41" s="169">
        <v>44692</v>
      </c>
      <c r="M41" s="169">
        <v>44693</v>
      </c>
      <c r="N41" s="169">
        <v>44694</v>
      </c>
      <c r="O41" s="169">
        <v>44695</v>
      </c>
      <c r="P41" s="169">
        <v>44696</v>
      </c>
      <c r="Q41" s="166" t="s">
        <v>9</v>
      </c>
      <c r="R41" s="169">
        <v>44697</v>
      </c>
      <c r="S41" s="169">
        <v>44698</v>
      </c>
      <c r="T41" s="169">
        <v>44699</v>
      </c>
      <c r="U41" s="169">
        <v>44700</v>
      </c>
      <c r="V41" s="169">
        <v>44701</v>
      </c>
      <c r="W41" s="169">
        <v>44702</v>
      </c>
      <c r="X41" s="169">
        <v>44703</v>
      </c>
      <c r="Y41" s="166" t="s">
        <v>9</v>
      </c>
      <c r="Z41" s="169">
        <v>44704</v>
      </c>
      <c r="AA41" s="169">
        <v>44705</v>
      </c>
      <c r="AB41" s="169">
        <v>44706</v>
      </c>
      <c r="AC41" s="169">
        <v>44707</v>
      </c>
      <c r="AD41" s="169">
        <v>44708</v>
      </c>
      <c r="AE41" s="169">
        <v>44709</v>
      </c>
      <c r="AF41" s="169">
        <v>44710</v>
      </c>
      <c r="AG41" s="166" t="s">
        <v>9</v>
      </c>
      <c r="AH41" s="169">
        <v>44711</v>
      </c>
      <c r="AI41" s="169">
        <v>44712</v>
      </c>
      <c r="AJ41" s="169"/>
      <c r="AK41" s="169"/>
      <c r="AL41" s="169"/>
      <c r="AM41" s="169"/>
      <c r="AN41" s="169"/>
      <c r="AO41" s="166" t="s">
        <v>9</v>
      </c>
      <c r="AP41" s="191" t="s">
        <v>10</v>
      </c>
    </row>
    <row r="42" spans="1:42">
      <c r="A42" s="170" t="s">
        <v>11</v>
      </c>
      <c r="B42" s="172">
        <v>46946</v>
      </c>
      <c r="C42" s="173">
        <v>104532</v>
      </c>
      <c r="D42" s="173">
        <v>90391</v>
      </c>
      <c r="E42" s="173">
        <v>95008</v>
      </c>
      <c r="F42" s="173">
        <v>65554</v>
      </c>
      <c r="G42" s="173">
        <v>94584</v>
      </c>
      <c r="H42" s="173">
        <v>0</v>
      </c>
      <c r="I42" s="185">
        <f>SUM(B42:H42)</f>
        <v>497015</v>
      </c>
      <c r="J42" s="173">
        <v>83279</v>
      </c>
      <c r="K42" s="173">
        <v>77915</v>
      </c>
      <c r="L42" s="173">
        <v>38455</v>
      </c>
      <c r="M42" s="173">
        <v>85464</v>
      </c>
      <c r="N42" s="173">
        <v>95063</v>
      </c>
      <c r="O42" s="173">
        <v>0</v>
      </c>
      <c r="P42" s="173">
        <v>0</v>
      </c>
      <c r="Q42" s="185">
        <f>SUM(J42:P42)</f>
        <v>380176</v>
      </c>
      <c r="R42" s="173">
        <v>89804</v>
      </c>
      <c r="S42" s="173">
        <v>95741</v>
      </c>
      <c r="T42" s="173">
        <v>99603</v>
      </c>
      <c r="U42" s="173">
        <v>71445</v>
      </c>
      <c r="V42" s="173">
        <v>44849</v>
      </c>
      <c r="W42" s="173">
        <v>0</v>
      </c>
      <c r="X42" s="173">
        <v>0</v>
      </c>
      <c r="Y42" s="185">
        <f>SUM(R42:X42)</f>
        <v>401442</v>
      </c>
      <c r="Z42" s="173">
        <v>108931</v>
      </c>
      <c r="AA42" s="173">
        <v>90832</v>
      </c>
      <c r="AB42" s="173">
        <v>87589</v>
      </c>
      <c r="AC42" s="173">
        <v>111626</v>
      </c>
      <c r="AD42" s="173">
        <v>0</v>
      </c>
      <c r="AE42" s="173">
        <v>58542</v>
      </c>
      <c r="AF42" s="173">
        <v>0</v>
      </c>
      <c r="AG42" s="185">
        <f>SUM(Z42:AF42)</f>
        <v>457520</v>
      </c>
      <c r="AH42" s="173">
        <v>111622</v>
      </c>
      <c r="AI42" s="173">
        <v>113146</v>
      </c>
      <c r="AJ42" s="173"/>
      <c r="AK42" s="173"/>
      <c r="AL42" s="173"/>
      <c r="AM42" s="173"/>
      <c r="AN42" s="173"/>
      <c r="AO42" s="185">
        <f>SUM(AH42:AI42)</f>
        <v>224768</v>
      </c>
      <c r="AP42" s="192">
        <f>SUM(AG42,Y42,Q42,I42+AO42)</f>
        <v>1960921</v>
      </c>
    </row>
    <row r="43" spans="1:42">
      <c r="A43" s="170" t="s">
        <v>12</v>
      </c>
      <c r="B43" s="172"/>
      <c r="C43" s="173"/>
      <c r="D43" s="173"/>
      <c r="E43" s="173"/>
      <c r="F43" s="173"/>
      <c r="G43" s="173"/>
      <c r="H43" s="173"/>
      <c r="I43" s="185">
        <f>SUM(B43:H43)</f>
        <v>0</v>
      </c>
      <c r="J43" s="173"/>
      <c r="K43" s="173"/>
      <c r="L43" s="173"/>
      <c r="M43" s="173"/>
      <c r="N43" s="173"/>
      <c r="O43" s="173"/>
      <c r="P43" s="173"/>
      <c r="Q43" s="185">
        <f>SUM(J43:P43)</f>
        <v>0</v>
      </c>
      <c r="R43" s="173"/>
      <c r="S43" s="173"/>
      <c r="T43" s="173"/>
      <c r="U43" s="173"/>
      <c r="V43" s="173"/>
      <c r="W43" s="173"/>
      <c r="X43" s="173"/>
      <c r="Y43" s="185">
        <f>SUM(R43:X43)</f>
        <v>0</v>
      </c>
      <c r="Z43" s="173"/>
      <c r="AA43" s="173"/>
      <c r="AB43" s="173"/>
      <c r="AC43" s="173"/>
      <c r="AD43" s="173"/>
      <c r="AE43" s="173"/>
      <c r="AF43" s="173"/>
      <c r="AG43" s="185">
        <f>SUM(Z43:AF43)</f>
        <v>0</v>
      </c>
      <c r="AH43" s="173"/>
      <c r="AI43" s="173"/>
      <c r="AJ43" s="173"/>
      <c r="AK43" s="173"/>
      <c r="AL43" s="173"/>
      <c r="AM43" s="173"/>
      <c r="AN43" s="173"/>
      <c r="AO43" s="171">
        <f t="shared" ref="AO43" si="38">SUM(AN43)</f>
        <v>0</v>
      </c>
      <c r="AP43" s="192">
        <f>SUM(AG43,Y43,Q43,I43+AO43)</f>
        <v>0</v>
      </c>
    </row>
    <row r="44" spans="1:42" ht="15.75" thickBot="1">
      <c r="A44" s="174" t="s">
        <v>13</v>
      </c>
      <c r="B44" s="173">
        <f>SUM(B47:B48)</f>
        <v>12530</v>
      </c>
      <c r="C44" s="173">
        <f t="shared" ref="C44:G44" si="39">SUM(C47:C48)</f>
        <v>5800</v>
      </c>
      <c r="D44" s="173">
        <f t="shared" si="39"/>
        <v>12828</v>
      </c>
      <c r="E44" s="173">
        <f t="shared" si="39"/>
        <v>16915</v>
      </c>
      <c r="F44" s="173">
        <f t="shared" si="39"/>
        <v>17622</v>
      </c>
      <c r="G44" s="173">
        <f t="shared" si="39"/>
        <v>8210</v>
      </c>
      <c r="H44" s="173">
        <f t="shared" ref="H44" si="40">SUM(H47:H48)</f>
        <v>0</v>
      </c>
      <c r="I44" s="185">
        <f>SUM(B44:H44)</f>
        <v>73905</v>
      </c>
      <c r="J44" s="173">
        <f>SUM(J47:J48)</f>
        <v>13119</v>
      </c>
      <c r="K44" s="173">
        <f>SUM(K47:K48)</f>
        <v>18328</v>
      </c>
      <c r="L44" s="173">
        <f>SUM(L47:L48)</f>
        <v>16037</v>
      </c>
      <c r="M44" s="173">
        <f>SUM(M47:M48)</f>
        <v>8090</v>
      </c>
      <c r="N44" s="173">
        <f>SUM(N47:N48)</f>
        <v>16422</v>
      </c>
      <c r="O44" s="173">
        <f t="shared" ref="O44:P44" si="41">SUM(O47:O48)</f>
        <v>0</v>
      </c>
      <c r="P44" s="173">
        <f t="shared" si="41"/>
        <v>0</v>
      </c>
      <c r="Q44" s="185">
        <f>SUM(J44:P44)</f>
        <v>71996</v>
      </c>
      <c r="R44" s="173">
        <f t="shared" ref="R44:W44" si="42">SUM(R47:R48)</f>
        <v>8379</v>
      </c>
      <c r="S44" s="173">
        <f t="shared" si="42"/>
        <v>4095</v>
      </c>
      <c r="T44" s="173">
        <f t="shared" si="42"/>
        <v>19089</v>
      </c>
      <c r="U44" s="173">
        <f t="shared" si="42"/>
        <v>17561</v>
      </c>
      <c r="V44" s="173">
        <f t="shared" si="42"/>
        <v>4960</v>
      </c>
      <c r="W44" s="173">
        <f t="shared" si="42"/>
        <v>4870</v>
      </c>
      <c r="X44" s="173">
        <f t="shared" ref="X44" si="43">SUM(X47:X48)</f>
        <v>0</v>
      </c>
      <c r="Y44" s="185">
        <f>SUM(R44:X44)</f>
        <v>58954</v>
      </c>
      <c r="Z44" s="173">
        <f>SUM(Z47:Z48)</f>
        <v>12367</v>
      </c>
      <c r="AA44" s="173">
        <f>SUM(AA47:AA48)</f>
        <v>4170</v>
      </c>
      <c r="AB44" s="173">
        <f>SUM(AB47:AB48)</f>
        <v>18308</v>
      </c>
      <c r="AC44" s="173">
        <f>SUM(AC47:AC48)</f>
        <v>16514</v>
      </c>
      <c r="AD44" s="173">
        <f>SUM(AD47:AD48)</f>
        <v>7770</v>
      </c>
      <c r="AE44" s="173">
        <f t="shared" ref="AE44:AF44" si="44">SUM(AE47:AE48)</f>
        <v>0</v>
      </c>
      <c r="AF44" s="173">
        <f t="shared" si="44"/>
        <v>0</v>
      </c>
      <c r="AG44" s="185">
        <f>SUM(Z44:AF44)</f>
        <v>59129</v>
      </c>
      <c r="AH44" s="173">
        <f>SUM(AH47:AH48)</f>
        <v>13703</v>
      </c>
      <c r="AI44" s="173">
        <f>SUM(AI47:AI48)</f>
        <v>10580</v>
      </c>
      <c r="AJ44" s="173">
        <f t="shared" ref="AJ44:AM44" si="45">SUM(AJ47:AJ48)</f>
        <v>0</v>
      </c>
      <c r="AK44" s="173">
        <f t="shared" si="45"/>
        <v>0</v>
      </c>
      <c r="AL44" s="173">
        <f t="shared" si="45"/>
        <v>0</v>
      </c>
      <c r="AM44" s="173">
        <f t="shared" si="45"/>
        <v>0</v>
      </c>
      <c r="AN44" s="173"/>
      <c r="AO44" s="185">
        <f>SUM(AH44:AN44)</f>
        <v>24283</v>
      </c>
      <c r="AP44" s="192">
        <f>SUM(AG44,Y44,Q44,I44+AO44)</f>
        <v>288267</v>
      </c>
    </row>
    <row r="45" spans="1:42" ht="15.75" thickBot="1">
      <c r="A45" s="164" t="s">
        <v>15</v>
      </c>
      <c r="B45" s="177">
        <f t="shared" ref="B45:I45" si="46">B44/B42</f>
        <v>0.2669023985004047</v>
      </c>
      <c r="C45" s="177">
        <f t="shared" si="46"/>
        <v>5.5485401599510195E-2</v>
      </c>
      <c r="D45" s="177">
        <f t="shared" si="46"/>
        <v>0.14191678375059463</v>
      </c>
      <c r="E45" s="177">
        <f t="shared" si="46"/>
        <v>0.17803763893566857</v>
      </c>
      <c r="F45" s="177">
        <f t="shared" si="46"/>
        <v>0.26881654818927908</v>
      </c>
      <c r="G45" s="177">
        <f t="shared" si="46"/>
        <v>8.6801150300262198E-2</v>
      </c>
      <c r="H45" s="177" t="e">
        <f t="shared" si="46"/>
        <v>#DIV/0!</v>
      </c>
      <c r="I45" s="176">
        <f t="shared" si="46"/>
        <v>0.14869772542076196</v>
      </c>
      <c r="J45" s="177">
        <f t="shared" ref="J45:R45" si="47">J44/J42</f>
        <v>0.15753071002293495</v>
      </c>
      <c r="K45" s="177">
        <f t="shared" si="47"/>
        <v>0.23523070012192773</v>
      </c>
      <c r="L45" s="177">
        <f t="shared" si="47"/>
        <v>0.41703289559225071</v>
      </c>
      <c r="M45" s="177">
        <f t="shared" si="47"/>
        <v>9.4659739773471877E-2</v>
      </c>
      <c r="N45" s="177">
        <f t="shared" si="47"/>
        <v>0.17274859829797082</v>
      </c>
      <c r="O45" s="177" t="e">
        <f t="shared" si="47"/>
        <v>#DIV/0!</v>
      </c>
      <c r="P45" s="177" t="e">
        <f t="shared" si="47"/>
        <v>#DIV/0!</v>
      </c>
      <c r="Q45" s="176">
        <f t="shared" si="47"/>
        <v>0.18937544716131477</v>
      </c>
      <c r="R45" s="177">
        <f t="shared" si="47"/>
        <v>9.3303193621664962E-2</v>
      </c>
      <c r="S45" s="177">
        <f t="shared" ref="S45:Y45" si="48">S44/S42</f>
        <v>4.2771644332104321E-2</v>
      </c>
      <c r="T45" s="177">
        <f t="shared" si="48"/>
        <v>0.19165085388994307</v>
      </c>
      <c r="U45" s="177">
        <f t="shared" si="48"/>
        <v>0.24579746658268598</v>
      </c>
      <c r="V45" s="177">
        <f t="shared" si="48"/>
        <v>0.11059332426586992</v>
      </c>
      <c r="W45" s="177" t="e">
        <f t="shared" si="48"/>
        <v>#DIV/0!</v>
      </c>
      <c r="X45" s="177" t="e">
        <f t="shared" si="48"/>
        <v>#DIV/0!</v>
      </c>
      <c r="Y45" s="176">
        <f t="shared" si="48"/>
        <v>0.14685558561386203</v>
      </c>
      <c r="Z45" s="177">
        <f t="shared" ref="Z45:AG45" si="49">Z44/Z42</f>
        <v>0.11353058358043165</v>
      </c>
      <c r="AA45" s="177">
        <f t="shared" si="49"/>
        <v>4.5908930773295754E-2</v>
      </c>
      <c r="AB45" s="177">
        <f t="shared" si="49"/>
        <v>0.20902168080466726</v>
      </c>
      <c r="AC45" s="177">
        <f t="shared" si="49"/>
        <v>0.14794044398258471</v>
      </c>
      <c r="AD45" s="177" t="e">
        <f t="shared" si="49"/>
        <v>#DIV/0!</v>
      </c>
      <c r="AE45" s="177">
        <f t="shared" si="49"/>
        <v>0</v>
      </c>
      <c r="AF45" s="177" t="e">
        <f t="shared" si="49"/>
        <v>#DIV/0!</v>
      </c>
      <c r="AG45" s="176">
        <f t="shared" si="49"/>
        <v>0.12923806609547123</v>
      </c>
      <c r="AH45" s="177">
        <f>AH44/AH42</f>
        <v>0.12276253785096128</v>
      </c>
      <c r="AI45" s="177">
        <f t="shared" ref="AI45:AO45" si="50">AI44/AI42</f>
        <v>9.3507503579446025E-2</v>
      </c>
      <c r="AJ45" s="177" t="e">
        <f t="shared" si="50"/>
        <v>#DIV/0!</v>
      </c>
      <c r="AK45" s="177" t="e">
        <f t="shared" si="50"/>
        <v>#DIV/0!</v>
      </c>
      <c r="AL45" s="177" t="e">
        <f t="shared" si="50"/>
        <v>#DIV/0!</v>
      </c>
      <c r="AM45" s="177" t="e">
        <f t="shared" si="50"/>
        <v>#DIV/0!</v>
      </c>
      <c r="AN45" s="177" t="e">
        <f t="shared" si="50"/>
        <v>#DIV/0!</v>
      </c>
      <c r="AO45" s="176">
        <f t="shared" si="50"/>
        <v>0.10803584140091116</v>
      </c>
      <c r="AP45" s="193">
        <f>AP44/AP42</f>
        <v>0.14700592221716224</v>
      </c>
    </row>
    <row r="46" spans="1:42">
      <c r="B46" s="178"/>
      <c r="C46" s="178"/>
      <c r="D46" s="178"/>
      <c r="E46" s="178"/>
      <c r="F46" s="178"/>
      <c r="G46" s="186"/>
      <c r="H46" s="178"/>
      <c r="I46" s="151"/>
      <c r="J46" s="178"/>
      <c r="K46" s="178"/>
      <c r="L46" s="178"/>
      <c r="M46" s="178"/>
      <c r="N46" s="178"/>
      <c r="O46" s="178"/>
      <c r="P46" s="188"/>
      <c r="Q46" s="151"/>
      <c r="R46" s="189"/>
      <c r="S46" s="189"/>
      <c r="T46" s="189"/>
      <c r="U46" s="189"/>
      <c r="V46" s="189"/>
      <c r="W46" s="189"/>
      <c r="X46" s="189"/>
      <c r="Y46" s="151"/>
      <c r="Z46" s="188"/>
      <c r="AA46" s="178"/>
      <c r="AB46" s="178"/>
      <c r="AC46" s="178"/>
      <c r="AD46" s="178"/>
      <c r="AE46" s="178"/>
      <c r="AF46" s="178"/>
      <c r="AG46" s="151"/>
      <c r="AH46" s="178"/>
      <c r="AI46" s="188"/>
      <c r="AJ46" s="189"/>
      <c r="AK46" s="189"/>
      <c r="AL46" s="189"/>
      <c r="AM46" s="189"/>
      <c r="AN46" s="189"/>
      <c r="AO46" s="151"/>
      <c r="AP46" s="47"/>
    </row>
    <row r="47" spans="1:42" s="161" customFormat="1">
      <c r="A47" s="181" t="s">
        <v>17</v>
      </c>
      <c r="B47" s="180">
        <v>8600</v>
      </c>
      <c r="C47" s="180">
        <v>0</v>
      </c>
      <c r="D47" s="180">
        <v>8238</v>
      </c>
      <c r="E47" s="180">
        <v>8582</v>
      </c>
      <c r="F47" s="180">
        <v>8542</v>
      </c>
      <c r="G47" s="180">
        <v>0</v>
      </c>
      <c r="H47" s="180">
        <v>0</v>
      </c>
      <c r="I47" s="179"/>
      <c r="J47" s="180">
        <v>8579</v>
      </c>
      <c r="K47" s="180">
        <v>8308</v>
      </c>
      <c r="L47" s="180">
        <v>8527</v>
      </c>
      <c r="M47" s="180">
        <v>0</v>
      </c>
      <c r="N47" s="180">
        <v>8302</v>
      </c>
      <c r="O47" s="180">
        <v>0</v>
      </c>
      <c r="P47" s="180">
        <v>0</v>
      </c>
      <c r="Q47" s="179"/>
      <c r="R47" s="180">
        <v>8379</v>
      </c>
      <c r="S47" s="180">
        <v>0</v>
      </c>
      <c r="T47" s="180">
        <v>8509</v>
      </c>
      <c r="U47" s="180">
        <v>8621</v>
      </c>
      <c r="V47" s="180">
        <v>0</v>
      </c>
      <c r="W47" s="180">
        <v>0</v>
      </c>
      <c r="X47" s="180">
        <v>0</v>
      </c>
      <c r="Y47" s="179"/>
      <c r="Z47" s="180">
        <v>8727</v>
      </c>
      <c r="AA47" s="180">
        <v>0</v>
      </c>
      <c r="AB47" s="180">
        <v>8658</v>
      </c>
      <c r="AC47" s="180">
        <v>8214</v>
      </c>
      <c r="AD47" s="180">
        <v>0</v>
      </c>
      <c r="AE47" s="180">
        <v>0</v>
      </c>
      <c r="AF47" s="180">
        <v>0</v>
      </c>
      <c r="AG47" s="179"/>
      <c r="AH47" s="180">
        <v>8473</v>
      </c>
      <c r="AI47" s="180">
        <v>0</v>
      </c>
      <c r="AJ47" s="180"/>
      <c r="AK47" s="180"/>
      <c r="AL47" s="180"/>
      <c r="AM47" s="180"/>
      <c r="AN47" s="180">
        <f>SUM(B47:AI47)</f>
        <v>127259</v>
      </c>
      <c r="AO47" s="195" t="s">
        <v>17</v>
      </c>
      <c r="AP47" s="121"/>
    </row>
    <row r="48" spans="1:42" s="161" customFormat="1">
      <c r="A48" s="179" t="s">
        <v>16</v>
      </c>
      <c r="B48" s="160">
        <v>3930</v>
      </c>
      <c r="C48" s="182">
        <v>5800</v>
      </c>
      <c r="D48" s="160">
        <v>4590</v>
      </c>
      <c r="E48" s="160">
        <v>8333</v>
      </c>
      <c r="F48" s="182">
        <v>9080</v>
      </c>
      <c r="G48" s="182">
        <v>8210</v>
      </c>
      <c r="H48" s="182">
        <v>0</v>
      </c>
      <c r="I48" s="181"/>
      <c r="J48" s="182">
        <v>4540</v>
      </c>
      <c r="K48" s="182">
        <v>10020</v>
      </c>
      <c r="L48" s="160">
        <v>7510</v>
      </c>
      <c r="M48" s="160">
        <v>8090</v>
      </c>
      <c r="N48" s="182">
        <v>8120</v>
      </c>
      <c r="O48" s="182">
        <v>0</v>
      </c>
      <c r="P48" s="160">
        <v>0</v>
      </c>
      <c r="Q48" s="181"/>
      <c r="R48" s="160">
        <v>0</v>
      </c>
      <c r="S48" s="160">
        <v>4095</v>
      </c>
      <c r="T48" s="160">
        <v>10580</v>
      </c>
      <c r="U48" s="160">
        <v>8940</v>
      </c>
      <c r="V48" s="160">
        <v>4960</v>
      </c>
      <c r="W48" s="160">
        <v>4870</v>
      </c>
      <c r="X48" s="160">
        <v>0</v>
      </c>
      <c r="Y48" s="181"/>
      <c r="Z48" s="160">
        <v>3640</v>
      </c>
      <c r="AA48" s="160">
        <v>4170</v>
      </c>
      <c r="AB48" s="160">
        <v>9650</v>
      </c>
      <c r="AC48" s="160">
        <v>8300</v>
      </c>
      <c r="AD48" s="160">
        <v>7770</v>
      </c>
      <c r="AE48" s="160">
        <v>0</v>
      </c>
      <c r="AF48" s="160">
        <v>0</v>
      </c>
      <c r="AG48" s="181"/>
      <c r="AH48" s="160">
        <v>5230</v>
      </c>
      <c r="AI48" s="160">
        <v>10580</v>
      </c>
      <c r="AJ48" s="160"/>
      <c r="AK48" s="160"/>
      <c r="AL48" s="190"/>
      <c r="AM48" s="160"/>
      <c r="AN48" s="160">
        <f>SUM(B48:AM48)</f>
        <v>161008</v>
      </c>
      <c r="AO48" s="194" t="s">
        <v>16</v>
      </c>
      <c r="AP48" s="196"/>
    </row>
    <row r="49" spans="1:43" ht="15.75" thickBot="1">
      <c r="A49" s="304" t="s">
        <v>22</v>
      </c>
      <c r="B49" s="163" t="s">
        <v>3</v>
      </c>
      <c r="C49" s="163" t="s">
        <v>4</v>
      </c>
      <c r="D49" s="163" t="s">
        <v>4</v>
      </c>
      <c r="E49" s="163" t="s">
        <v>5</v>
      </c>
      <c r="F49" s="163" t="s">
        <v>6</v>
      </c>
      <c r="G49" s="163" t="s">
        <v>7</v>
      </c>
      <c r="H49" s="163" t="s">
        <v>2</v>
      </c>
      <c r="I49" s="163"/>
      <c r="J49" s="163" t="s">
        <v>3</v>
      </c>
      <c r="K49" s="163" t="s">
        <v>4</v>
      </c>
      <c r="L49" s="163" t="s">
        <v>4</v>
      </c>
      <c r="M49" s="163" t="s">
        <v>5</v>
      </c>
      <c r="N49" s="163" t="s">
        <v>6</v>
      </c>
      <c r="O49" s="163" t="s">
        <v>7</v>
      </c>
      <c r="P49" s="163" t="s">
        <v>2</v>
      </c>
      <c r="Q49" s="163"/>
      <c r="R49" s="163" t="s">
        <v>3</v>
      </c>
      <c r="S49" s="163" t="s">
        <v>4</v>
      </c>
      <c r="T49" s="163" t="s">
        <v>4</v>
      </c>
      <c r="U49" s="163" t="s">
        <v>5</v>
      </c>
      <c r="V49" s="163" t="s">
        <v>6</v>
      </c>
      <c r="W49" s="163" t="s">
        <v>7</v>
      </c>
      <c r="X49" s="163" t="s">
        <v>2</v>
      </c>
      <c r="Y49" s="163"/>
      <c r="Z49" s="163" t="s">
        <v>3</v>
      </c>
      <c r="AA49" s="163" t="s">
        <v>4</v>
      </c>
      <c r="AB49" s="163" t="s">
        <v>4</v>
      </c>
      <c r="AC49" s="163" t="s">
        <v>5</v>
      </c>
      <c r="AD49" s="163" t="s">
        <v>6</v>
      </c>
      <c r="AE49" s="163" t="s">
        <v>7</v>
      </c>
      <c r="AF49" s="163" t="s">
        <v>2</v>
      </c>
      <c r="AG49" s="163"/>
      <c r="AH49" s="163" t="s">
        <v>3</v>
      </c>
      <c r="AI49" s="163" t="s">
        <v>4</v>
      </c>
      <c r="AJ49" s="163" t="s">
        <v>4</v>
      </c>
      <c r="AK49" s="163" t="s">
        <v>5</v>
      </c>
      <c r="AL49" s="163" t="s">
        <v>6</v>
      </c>
      <c r="AM49" s="163" t="s">
        <v>7</v>
      </c>
      <c r="AN49" s="163" t="s">
        <v>2</v>
      </c>
      <c r="AO49" s="151"/>
      <c r="AP49" s="47">
        <f>SUM(B49:AO49)</f>
        <v>0</v>
      </c>
    </row>
    <row r="50" spans="1:43" ht="15.75" thickBot="1">
      <c r="A50" s="164" t="s">
        <v>8</v>
      </c>
      <c r="B50" s="168"/>
      <c r="C50" s="169"/>
      <c r="D50" s="169">
        <v>44713</v>
      </c>
      <c r="E50" s="169">
        <v>44714</v>
      </c>
      <c r="F50" s="169">
        <v>44715</v>
      </c>
      <c r="G50" s="169">
        <v>44716</v>
      </c>
      <c r="H50" s="169">
        <v>44717</v>
      </c>
      <c r="I50" s="166" t="s">
        <v>9</v>
      </c>
      <c r="J50" s="169">
        <v>44718</v>
      </c>
      <c r="K50" s="169">
        <v>44719</v>
      </c>
      <c r="L50" s="169">
        <v>44720</v>
      </c>
      <c r="M50" s="169">
        <v>44721</v>
      </c>
      <c r="N50" s="169">
        <v>44722</v>
      </c>
      <c r="O50" s="169">
        <v>44723</v>
      </c>
      <c r="P50" s="169">
        <v>44724</v>
      </c>
      <c r="Q50" s="166" t="s">
        <v>9</v>
      </c>
      <c r="R50" s="169">
        <v>44725</v>
      </c>
      <c r="S50" s="169">
        <v>44726</v>
      </c>
      <c r="T50" s="169">
        <v>44727</v>
      </c>
      <c r="U50" s="169">
        <v>44728</v>
      </c>
      <c r="V50" s="169">
        <v>44729</v>
      </c>
      <c r="W50" s="169">
        <v>44730</v>
      </c>
      <c r="X50" s="169">
        <v>44731</v>
      </c>
      <c r="Y50" s="166" t="s">
        <v>9</v>
      </c>
      <c r="Z50" s="169">
        <v>44732</v>
      </c>
      <c r="AA50" s="169">
        <v>44733</v>
      </c>
      <c r="AB50" s="169">
        <v>44734</v>
      </c>
      <c r="AC50" s="169">
        <v>44735</v>
      </c>
      <c r="AD50" s="169">
        <v>44736</v>
      </c>
      <c r="AE50" s="169">
        <v>44737</v>
      </c>
      <c r="AF50" s="169">
        <v>44738</v>
      </c>
      <c r="AG50" s="166" t="s">
        <v>9</v>
      </c>
      <c r="AH50" s="169">
        <v>44739</v>
      </c>
      <c r="AI50" s="169">
        <v>44740</v>
      </c>
      <c r="AJ50" s="169">
        <v>44741</v>
      </c>
      <c r="AK50" s="169">
        <v>44742</v>
      </c>
      <c r="AL50" s="169"/>
      <c r="AM50" s="169"/>
      <c r="AN50" s="169"/>
      <c r="AO50" s="166" t="s">
        <v>9</v>
      </c>
      <c r="AP50" s="191" t="s">
        <v>10</v>
      </c>
    </row>
    <row r="51" spans="1:43">
      <c r="A51" s="170" t="s">
        <v>11</v>
      </c>
      <c r="B51" s="172"/>
      <c r="C51" s="173"/>
      <c r="D51" s="173">
        <v>127164</v>
      </c>
      <c r="E51" s="173">
        <v>118505</v>
      </c>
      <c r="F51" s="173">
        <v>79687</v>
      </c>
      <c r="G51" s="173">
        <v>92113</v>
      </c>
      <c r="H51" s="173">
        <v>0</v>
      </c>
      <c r="I51" s="185">
        <f>SUM(B51:H51)</f>
        <v>417469</v>
      </c>
      <c r="J51" s="173">
        <v>75909</v>
      </c>
      <c r="K51" s="173">
        <v>116257</v>
      </c>
      <c r="L51" s="173">
        <v>107087</v>
      </c>
      <c r="M51" s="173">
        <v>111904</v>
      </c>
      <c r="N51" s="173">
        <v>143246</v>
      </c>
      <c r="O51" s="173">
        <v>0</v>
      </c>
      <c r="P51" s="173">
        <v>0</v>
      </c>
      <c r="Q51" s="185">
        <f>SUM(J51:P51)</f>
        <v>554403</v>
      </c>
      <c r="R51" s="173">
        <v>47475</v>
      </c>
      <c r="S51" s="173">
        <v>90935</v>
      </c>
      <c r="T51" s="173">
        <v>91033</v>
      </c>
      <c r="U51" s="173">
        <v>102465</v>
      </c>
      <c r="V51" s="173">
        <v>128119</v>
      </c>
      <c r="W51" s="173">
        <v>100516</v>
      </c>
      <c r="X51" s="173"/>
      <c r="Y51" s="185">
        <f>SUM(R51:X51)</f>
        <v>560543</v>
      </c>
      <c r="Z51" s="173">
        <v>87206</v>
      </c>
      <c r="AA51" s="173">
        <v>75490</v>
      </c>
      <c r="AB51" s="173">
        <v>83578</v>
      </c>
      <c r="AC51" s="173">
        <v>117959</v>
      </c>
      <c r="AD51" s="173">
        <v>112047</v>
      </c>
      <c r="AE51" s="173">
        <v>103473</v>
      </c>
      <c r="AF51" s="173">
        <v>0</v>
      </c>
      <c r="AG51" s="185">
        <f>SUM(Z51:AF51)</f>
        <v>579753</v>
      </c>
      <c r="AH51" s="173">
        <v>90903</v>
      </c>
      <c r="AI51" s="173"/>
      <c r="AJ51" s="173">
        <v>101695</v>
      </c>
      <c r="AK51" s="173">
        <v>105295</v>
      </c>
      <c r="AL51" s="173"/>
      <c r="AM51" s="173"/>
      <c r="AN51" s="173"/>
      <c r="AO51" s="185">
        <f>SUM(AH51:AK51)</f>
        <v>297893</v>
      </c>
      <c r="AP51" s="192">
        <f>I51+Q51+Y51+AG51+AO51</f>
        <v>2410061</v>
      </c>
    </row>
    <row r="52" spans="1:43">
      <c r="A52" s="170" t="s">
        <v>12</v>
      </c>
      <c r="B52" s="172"/>
      <c r="C52" s="173"/>
      <c r="D52" s="173"/>
      <c r="E52" s="173"/>
      <c r="F52" s="173"/>
      <c r="G52" s="173"/>
      <c r="H52" s="173"/>
      <c r="I52" s="185">
        <f>SUM(B52:H52)</f>
        <v>0</v>
      </c>
      <c r="J52" s="173"/>
      <c r="K52" s="173"/>
      <c r="L52" s="173"/>
      <c r="M52" s="173"/>
      <c r="N52" s="173"/>
      <c r="O52" s="173"/>
      <c r="P52" s="173"/>
      <c r="Q52" s="185">
        <f>SUM(J52:P52)</f>
        <v>0</v>
      </c>
      <c r="R52" s="173"/>
      <c r="S52" s="173"/>
      <c r="T52" s="173"/>
      <c r="U52" s="173"/>
      <c r="V52" s="173"/>
      <c r="W52" s="173"/>
      <c r="X52" s="173"/>
      <c r="Y52" s="185">
        <f>SUM(R52:X52)</f>
        <v>0</v>
      </c>
      <c r="Z52" s="173"/>
      <c r="AA52" s="173"/>
      <c r="AB52" s="173"/>
      <c r="AC52" s="173"/>
      <c r="AD52" s="173"/>
      <c r="AE52" s="173"/>
      <c r="AF52" s="173"/>
      <c r="AG52" s="185">
        <f>SUM(Z52:AF52)</f>
        <v>0</v>
      </c>
      <c r="AH52" s="173"/>
      <c r="AI52" s="173"/>
      <c r="AJ52" s="173"/>
      <c r="AK52" s="173"/>
      <c r="AL52" s="173"/>
      <c r="AM52" s="173"/>
      <c r="AN52" s="173"/>
      <c r="AO52" s="185">
        <f t="shared" ref="AO52" si="51">SUM(AH52:AK52)</f>
        <v>0</v>
      </c>
      <c r="AP52" s="192">
        <f t="shared" ref="AP52" si="52">I52+Q52+Y52+AG52+AO52</f>
        <v>0</v>
      </c>
    </row>
    <row r="53" spans="1:43" ht="15.75" thickBot="1">
      <c r="A53" s="174" t="s">
        <v>13</v>
      </c>
      <c r="B53" s="173"/>
      <c r="C53" s="173">
        <v>0</v>
      </c>
      <c r="D53" s="173">
        <f>D56+D57</f>
        <v>18653</v>
      </c>
      <c r="E53" s="173">
        <f>E56+E57</f>
        <v>17450</v>
      </c>
      <c r="F53" s="173">
        <f>F56+F57</f>
        <v>16443</v>
      </c>
      <c r="G53" s="173">
        <f>G56+G57</f>
        <v>7180</v>
      </c>
      <c r="H53" s="173">
        <f t="shared" ref="H53" si="53">H56+H57</f>
        <v>0</v>
      </c>
      <c r="I53" s="185">
        <f>SUM(B53:H53)</f>
        <v>59726</v>
      </c>
      <c r="J53" s="173">
        <f>J56+J57</f>
        <v>18651</v>
      </c>
      <c r="K53" s="173">
        <f t="shared" ref="K53:P53" si="54">K56+K57</f>
        <v>7900</v>
      </c>
      <c r="L53" s="173">
        <f t="shared" si="54"/>
        <v>6490</v>
      </c>
      <c r="M53" s="173">
        <f t="shared" si="54"/>
        <v>16894</v>
      </c>
      <c r="N53" s="173">
        <f>N56+N57</f>
        <v>15589</v>
      </c>
      <c r="O53" s="173">
        <f>O56+O57</f>
        <v>8530</v>
      </c>
      <c r="P53" s="173">
        <f t="shared" si="54"/>
        <v>0</v>
      </c>
      <c r="Q53" s="185">
        <f>SUM(J53:P53)</f>
        <v>74054</v>
      </c>
      <c r="R53" s="173">
        <f t="shared" ref="R53:X53" si="55">R56+R57</f>
        <v>0</v>
      </c>
      <c r="S53" s="173">
        <f t="shared" si="55"/>
        <v>12271</v>
      </c>
      <c r="T53" s="173">
        <f t="shared" si="55"/>
        <v>11070</v>
      </c>
      <c r="U53" s="173">
        <f t="shared" si="55"/>
        <v>12475</v>
      </c>
      <c r="V53" s="173">
        <f t="shared" si="55"/>
        <v>3900</v>
      </c>
      <c r="W53" s="173">
        <f t="shared" si="55"/>
        <v>11472</v>
      </c>
      <c r="X53" s="173">
        <f t="shared" si="55"/>
        <v>0</v>
      </c>
      <c r="Y53" s="185">
        <f>SUM(R53:X53)</f>
        <v>51188</v>
      </c>
      <c r="Z53" s="173">
        <f>Z56+Z57</f>
        <v>7430</v>
      </c>
      <c r="AA53" s="173">
        <f>AA56+AA57</f>
        <v>12264</v>
      </c>
      <c r="AB53" s="173">
        <f t="shared" ref="AB53:AF53" si="56">AB56+AB57</f>
        <v>8140</v>
      </c>
      <c r="AC53" s="173">
        <f t="shared" si="56"/>
        <v>11394</v>
      </c>
      <c r="AD53" s="173">
        <f t="shared" si="56"/>
        <v>4750</v>
      </c>
      <c r="AE53" s="173">
        <f t="shared" si="56"/>
        <v>11394</v>
      </c>
      <c r="AF53" s="173">
        <f t="shared" si="56"/>
        <v>0</v>
      </c>
      <c r="AG53" s="185">
        <f>SUM(Z53:AF53)</f>
        <v>55372</v>
      </c>
      <c r="AH53" s="173">
        <f t="shared" ref="AH53:AN53" si="57">AH56+AH57</f>
        <v>4890</v>
      </c>
      <c r="AI53" s="173">
        <f>AI56+AI57</f>
        <v>12133</v>
      </c>
      <c r="AJ53" s="173">
        <f t="shared" si="57"/>
        <v>3510</v>
      </c>
      <c r="AK53" s="173">
        <f t="shared" si="57"/>
        <v>3630</v>
      </c>
      <c r="AL53" s="173">
        <f t="shared" si="57"/>
        <v>0</v>
      </c>
      <c r="AM53" s="173">
        <f t="shared" si="57"/>
        <v>0</v>
      </c>
      <c r="AN53" s="173">
        <f t="shared" si="57"/>
        <v>0</v>
      </c>
      <c r="AO53" s="185">
        <f>SUM(AH53:AK53)</f>
        <v>24163</v>
      </c>
      <c r="AP53" s="192">
        <f>I53+Q53+Y53+AG53+AO53</f>
        <v>264503</v>
      </c>
    </row>
    <row r="54" spans="1:43" ht="15.75" thickBot="1">
      <c r="A54" s="164" t="s">
        <v>15</v>
      </c>
      <c r="B54" s="177" t="e">
        <f t="shared" ref="B54:I54" si="58">B53/B51</f>
        <v>#DIV/0!</v>
      </c>
      <c r="C54" s="177" t="e">
        <f t="shared" si="58"/>
        <v>#DIV/0!</v>
      </c>
      <c r="D54" s="177">
        <f t="shared" si="58"/>
        <v>0.1466845962693844</v>
      </c>
      <c r="E54" s="177">
        <f t="shared" si="58"/>
        <v>0.14725117083667355</v>
      </c>
      <c r="F54" s="177">
        <f t="shared" si="58"/>
        <v>0.20634482412438665</v>
      </c>
      <c r="G54" s="177">
        <f t="shared" si="58"/>
        <v>7.7947738104284958E-2</v>
      </c>
      <c r="H54" s="177" t="e">
        <f t="shared" si="58"/>
        <v>#DIV/0!</v>
      </c>
      <c r="I54" s="176">
        <f t="shared" si="58"/>
        <v>0.14306691035741576</v>
      </c>
      <c r="J54" s="177">
        <f t="shared" ref="J54:R54" si="59">J53/J51</f>
        <v>0.24570209066118642</v>
      </c>
      <c r="K54" s="177">
        <f t="shared" si="59"/>
        <v>6.7952897459937892E-2</v>
      </c>
      <c r="L54" s="177">
        <f t="shared" si="59"/>
        <v>6.0604928702830407E-2</v>
      </c>
      <c r="M54" s="177">
        <f t="shared" si="59"/>
        <v>0.15096868744638262</v>
      </c>
      <c r="N54" s="177">
        <f t="shared" si="59"/>
        <v>0.10882677352247183</v>
      </c>
      <c r="O54" s="177" t="e">
        <f t="shared" si="59"/>
        <v>#DIV/0!</v>
      </c>
      <c r="P54" s="177" t="e">
        <f t="shared" si="59"/>
        <v>#DIV/0!</v>
      </c>
      <c r="Q54" s="176">
        <f t="shared" si="59"/>
        <v>0.13357431327031058</v>
      </c>
      <c r="R54" s="177">
        <f t="shared" si="59"/>
        <v>0</v>
      </c>
      <c r="S54" s="177">
        <f t="shared" ref="S54:Y54" si="60">S53/S51</f>
        <v>0.13494254137570794</v>
      </c>
      <c r="T54" s="177">
        <f t="shared" si="60"/>
        <v>0.12160425340261224</v>
      </c>
      <c r="U54" s="177">
        <f t="shared" si="60"/>
        <v>0.1217488898648319</v>
      </c>
      <c r="V54" s="177">
        <f t="shared" si="60"/>
        <v>3.0440449894238948E-2</v>
      </c>
      <c r="W54" s="177">
        <f t="shared" si="60"/>
        <v>0.11413108360857972</v>
      </c>
      <c r="X54" s="177" t="e">
        <f t="shared" si="60"/>
        <v>#DIV/0!</v>
      </c>
      <c r="Y54" s="176">
        <f t="shared" si="60"/>
        <v>9.1318596432387877E-2</v>
      </c>
      <c r="Z54" s="177">
        <f t="shared" ref="Z54:AG54" si="61">Z53/Z51</f>
        <v>8.5200559594523315E-2</v>
      </c>
      <c r="AA54" s="177">
        <f t="shared" si="61"/>
        <v>0.16245860378858126</v>
      </c>
      <c r="AB54" s="177">
        <f t="shared" si="61"/>
        <v>9.739405106607002E-2</v>
      </c>
      <c r="AC54" s="177">
        <f t="shared" si="61"/>
        <v>9.6592883968158433E-2</v>
      </c>
      <c r="AD54" s="177">
        <f t="shared" si="61"/>
        <v>4.2392924397797356E-2</v>
      </c>
      <c r="AE54" s="177">
        <f t="shared" si="61"/>
        <v>0.11011568235191789</v>
      </c>
      <c r="AF54" s="177" t="e">
        <f t="shared" si="61"/>
        <v>#DIV/0!</v>
      </c>
      <c r="AG54" s="176">
        <f t="shared" si="61"/>
        <v>9.5509639449903663E-2</v>
      </c>
      <c r="AH54" s="177">
        <f t="shared" ref="AH54:AO54" si="62">AH53/AH51</f>
        <v>5.3793604171479492E-2</v>
      </c>
      <c r="AI54" s="177" t="e">
        <f t="shared" si="62"/>
        <v>#DIV/0!</v>
      </c>
      <c r="AJ54" s="177">
        <f t="shared" si="62"/>
        <v>3.4514971237523971E-2</v>
      </c>
      <c r="AK54" s="177">
        <f t="shared" si="62"/>
        <v>3.4474571442138752E-2</v>
      </c>
      <c r="AL54" s="177" t="e">
        <f t="shared" si="62"/>
        <v>#DIV/0!</v>
      </c>
      <c r="AM54" s="177" t="e">
        <f t="shared" si="62"/>
        <v>#DIV/0!</v>
      </c>
      <c r="AN54" s="177" t="e">
        <f t="shared" si="62"/>
        <v>#DIV/0!</v>
      </c>
      <c r="AO54" s="176">
        <f t="shared" si="62"/>
        <v>8.1113017090028966E-2</v>
      </c>
      <c r="AP54" s="193">
        <f>AP53/AP51</f>
        <v>0.10974950426565967</v>
      </c>
    </row>
    <row r="55" spans="1:43">
      <c r="B55" s="178"/>
      <c r="C55" s="178"/>
      <c r="D55" s="178"/>
      <c r="E55" s="178"/>
      <c r="F55" s="178"/>
      <c r="G55" s="186"/>
      <c r="H55" s="178"/>
      <c r="I55" s="151"/>
      <c r="J55" s="178"/>
      <c r="K55" s="178"/>
      <c r="L55" s="178"/>
      <c r="M55" s="178"/>
      <c r="N55" s="178"/>
      <c r="O55" s="178"/>
      <c r="P55" s="188"/>
      <c r="Q55" s="151"/>
      <c r="R55" s="189"/>
      <c r="S55" s="189"/>
      <c r="T55" s="189"/>
      <c r="U55" s="189"/>
      <c r="V55" s="189"/>
      <c r="W55" s="189"/>
      <c r="X55" s="189"/>
      <c r="Y55" s="151"/>
      <c r="Z55" s="188"/>
      <c r="AA55" s="178"/>
      <c r="AB55" s="178"/>
      <c r="AC55" s="178"/>
      <c r="AD55" s="178"/>
      <c r="AE55" s="178"/>
      <c r="AF55" s="178"/>
      <c r="AG55" s="151"/>
      <c r="AH55" s="178"/>
      <c r="AI55" s="188"/>
      <c r="AJ55" s="189"/>
      <c r="AK55" s="189"/>
      <c r="AL55" s="189"/>
      <c r="AM55" s="189"/>
      <c r="AN55" s="189"/>
      <c r="AO55" s="151"/>
      <c r="AP55" s="47"/>
    </row>
    <row r="56" spans="1:43" s="161" customFormat="1">
      <c r="A56" s="181" t="s">
        <v>17</v>
      </c>
      <c r="B56" s="180"/>
      <c r="C56" s="180"/>
      <c r="D56" s="180">
        <f>706+669+695+680+733+742+707+713+729+683+732+674</f>
        <v>8463</v>
      </c>
      <c r="E56" s="180">
        <f>663+669+645+686+692+681+640+676+687+709+749+713</f>
        <v>8210</v>
      </c>
      <c r="F56" s="180">
        <f>697+690+681+734+720+628+764+780+767+662+722+698</f>
        <v>8543</v>
      </c>
      <c r="G56" s="180">
        <v>0</v>
      </c>
      <c r="H56" s="180">
        <v>0</v>
      </c>
      <c r="I56" s="179"/>
      <c r="J56" s="180">
        <f>725+732+678+635+734+682+626+750+712+729+706+682</f>
        <v>8391</v>
      </c>
      <c r="K56" s="180">
        <v>0</v>
      </c>
      <c r="L56" s="180">
        <v>0</v>
      </c>
      <c r="M56" s="180">
        <f>712+718+683+685+735+691+718+766+649+651+731+675</f>
        <v>8414</v>
      </c>
      <c r="N56" s="180">
        <v>8529</v>
      </c>
      <c r="O56" s="180">
        <v>0</v>
      </c>
      <c r="P56" s="180">
        <v>0</v>
      </c>
      <c r="Q56" s="179"/>
      <c r="R56" s="180">
        <v>0</v>
      </c>
      <c r="S56" s="180">
        <f>661+636+694+669+705+680+681+697+729+702+667+730</f>
        <v>8251</v>
      </c>
      <c r="T56" s="180">
        <v>0</v>
      </c>
      <c r="U56" s="180">
        <f>695+711+714+690+708+714+665+664+679+676+658+721</f>
        <v>8295</v>
      </c>
      <c r="V56" s="180">
        <v>0</v>
      </c>
      <c r="W56" s="180">
        <f>697+685+686+696+694+759+743+713+643+713+681+692</f>
        <v>8402</v>
      </c>
      <c r="X56" s="180">
        <v>0</v>
      </c>
      <c r="Y56" s="179"/>
      <c r="Z56" s="187">
        <v>0</v>
      </c>
      <c r="AA56" s="180">
        <f>683+706+731+696+675+723+681+644+685+659+735+713</f>
        <v>8331</v>
      </c>
      <c r="AB56" s="180">
        <v>0</v>
      </c>
      <c r="AC56" s="180">
        <f>689+717+697+694+723+666+684+717+714+686+708+725</f>
        <v>8420</v>
      </c>
      <c r="AD56" s="180">
        <v>0</v>
      </c>
      <c r="AE56" s="180">
        <f>749+662+714+737+646+680+692+692+674+719+743+696</f>
        <v>8404</v>
      </c>
      <c r="AF56" s="180"/>
      <c r="AG56" s="179"/>
      <c r="AH56" s="180">
        <v>0</v>
      </c>
      <c r="AI56" s="180">
        <f>679+678+692+718+699+719+589+684+730+685+795.5+724.5</f>
        <v>8393</v>
      </c>
      <c r="AJ56" s="180">
        <v>0</v>
      </c>
      <c r="AK56" s="180">
        <v>0</v>
      </c>
      <c r="AL56" s="180"/>
      <c r="AM56" s="180"/>
      <c r="AN56" s="180"/>
      <c r="AO56" s="160">
        <f>SUM(AI56,AE56,AC56,AB56,AA56,W56,U56,S56,N56,M56,J56,F56,E56,D56)</f>
        <v>109046</v>
      </c>
      <c r="AP56" s="195" t="s">
        <v>17</v>
      </c>
    </row>
    <row r="57" spans="1:43" s="161" customFormat="1">
      <c r="A57" s="179" t="s">
        <v>16</v>
      </c>
      <c r="B57" s="160"/>
      <c r="C57" s="182"/>
      <c r="D57" s="160">
        <v>10190</v>
      </c>
      <c r="E57" s="160">
        <v>9240</v>
      </c>
      <c r="F57" s="182">
        <v>7900</v>
      </c>
      <c r="G57" s="182">
        <v>7180</v>
      </c>
      <c r="H57" s="182">
        <v>0</v>
      </c>
      <c r="I57" s="181"/>
      <c r="J57" s="182">
        <v>10260</v>
      </c>
      <c r="K57" s="182">
        <v>7900</v>
      </c>
      <c r="L57" s="160">
        <v>6490</v>
      </c>
      <c r="M57" s="160">
        <v>8480</v>
      </c>
      <c r="N57" s="182">
        <v>7060</v>
      </c>
      <c r="O57" s="182">
        <v>8530</v>
      </c>
      <c r="P57" s="160">
        <v>0</v>
      </c>
      <c r="Q57" s="181"/>
      <c r="R57" s="160">
        <v>0</v>
      </c>
      <c r="S57" s="160">
        <v>4020</v>
      </c>
      <c r="T57" s="160">
        <v>11070</v>
      </c>
      <c r="U57" s="160">
        <v>4180</v>
      </c>
      <c r="V57" s="160">
        <v>3900</v>
      </c>
      <c r="W57" s="160">
        <v>3070</v>
      </c>
      <c r="X57" s="160">
        <v>0</v>
      </c>
      <c r="Y57" s="181"/>
      <c r="Z57" s="160">
        <v>7430</v>
      </c>
      <c r="AA57" s="160">
        <v>3933</v>
      </c>
      <c r="AB57" s="160">
        <v>8140</v>
      </c>
      <c r="AC57" s="160">
        <v>2974</v>
      </c>
      <c r="AD57" s="160">
        <v>4750</v>
      </c>
      <c r="AE57" s="160">
        <v>2990</v>
      </c>
      <c r="AF57" s="160">
        <v>0</v>
      </c>
      <c r="AG57" s="181"/>
      <c r="AH57" s="160">
        <v>4890</v>
      </c>
      <c r="AI57" s="160">
        <v>3740</v>
      </c>
      <c r="AJ57" s="160">
        <v>3510</v>
      </c>
      <c r="AK57" s="160">
        <v>3630</v>
      </c>
      <c r="AL57" s="190"/>
      <c r="AM57" s="160"/>
      <c r="AN57" s="160"/>
      <c r="AO57" s="160">
        <f>SUM(D57:AK57)</f>
        <v>155457</v>
      </c>
      <c r="AP57" s="194" t="s">
        <v>16</v>
      </c>
    </row>
    <row r="58" spans="1:43" ht="15.75" thickBot="1">
      <c r="A58" s="304" t="s">
        <v>23</v>
      </c>
      <c r="B58" s="163" t="s">
        <v>3</v>
      </c>
      <c r="C58" s="163" t="s">
        <v>4</v>
      </c>
      <c r="D58" s="163" t="s">
        <v>4</v>
      </c>
      <c r="E58" s="163" t="s">
        <v>5</v>
      </c>
      <c r="F58" s="163" t="s">
        <v>6</v>
      </c>
      <c r="G58" s="163" t="s">
        <v>7</v>
      </c>
      <c r="H58" s="163" t="s">
        <v>2</v>
      </c>
      <c r="I58" s="163"/>
      <c r="J58" s="163" t="s">
        <v>3</v>
      </c>
      <c r="K58" s="163" t="s">
        <v>4</v>
      </c>
      <c r="L58" s="163" t="s">
        <v>4</v>
      </c>
      <c r="M58" s="163" t="s">
        <v>5</v>
      </c>
      <c r="N58" s="163" t="s">
        <v>6</v>
      </c>
      <c r="O58" s="163" t="s">
        <v>7</v>
      </c>
      <c r="P58" s="163" t="s">
        <v>2</v>
      </c>
      <c r="Q58" s="163"/>
      <c r="R58" s="163" t="s">
        <v>3</v>
      </c>
      <c r="S58" s="163" t="s">
        <v>4</v>
      </c>
      <c r="T58" s="163" t="s">
        <v>4</v>
      </c>
      <c r="U58" s="163" t="s">
        <v>5</v>
      </c>
      <c r="V58" s="163" t="s">
        <v>6</v>
      </c>
      <c r="W58" s="163" t="s">
        <v>7</v>
      </c>
      <c r="X58" s="163" t="s">
        <v>2</v>
      </c>
      <c r="Y58" s="163"/>
      <c r="Z58" s="163" t="s">
        <v>3</v>
      </c>
      <c r="AA58" s="163" t="s">
        <v>4</v>
      </c>
      <c r="AB58" s="163" t="s">
        <v>4</v>
      </c>
      <c r="AC58" s="163" t="s">
        <v>5</v>
      </c>
      <c r="AD58" s="163" t="s">
        <v>6</v>
      </c>
      <c r="AE58" s="163" t="s">
        <v>7</v>
      </c>
      <c r="AF58" s="163" t="s">
        <v>2</v>
      </c>
      <c r="AG58" s="163"/>
      <c r="AH58" s="163" t="s">
        <v>3</v>
      </c>
      <c r="AI58" s="163" t="s">
        <v>4</v>
      </c>
      <c r="AJ58" s="163" t="s">
        <v>4</v>
      </c>
      <c r="AK58" s="163" t="s">
        <v>5</v>
      </c>
      <c r="AL58" s="163" t="s">
        <v>6</v>
      </c>
      <c r="AM58" s="163" t="s">
        <v>7</v>
      </c>
      <c r="AN58" s="163" t="s">
        <v>2</v>
      </c>
      <c r="AO58" s="163"/>
      <c r="AP58" s="151"/>
      <c r="AQ58" s="47"/>
    </row>
    <row r="59" spans="1:43" ht="15.75" thickBot="1">
      <c r="A59" s="183" t="s">
        <v>8</v>
      </c>
      <c r="B59" s="168"/>
      <c r="C59" s="168"/>
      <c r="D59" s="168"/>
      <c r="E59" s="169"/>
      <c r="F59" s="169">
        <v>44743</v>
      </c>
      <c r="G59" s="169">
        <v>44744</v>
      </c>
      <c r="H59" s="169">
        <v>44745</v>
      </c>
      <c r="I59" s="166" t="s">
        <v>9</v>
      </c>
      <c r="J59" s="169">
        <v>44746</v>
      </c>
      <c r="K59" s="169">
        <v>44747</v>
      </c>
      <c r="L59" s="169">
        <v>44748</v>
      </c>
      <c r="M59" s="169">
        <v>44749</v>
      </c>
      <c r="N59" s="169">
        <v>44750</v>
      </c>
      <c r="O59" s="169">
        <v>44751</v>
      </c>
      <c r="P59" s="169">
        <v>44752</v>
      </c>
      <c r="Q59" s="166" t="s">
        <v>9</v>
      </c>
      <c r="R59" s="169">
        <v>44753</v>
      </c>
      <c r="S59" s="169">
        <v>44754</v>
      </c>
      <c r="T59" s="169">
        <v>44755</v>
      </c>
      <c r="U59" s="169">
        <v>44756</v>
      </c>
      <c r="V59" s="169">
        <v>44757</v>
      </c>
      <c r="W59" s="169">
        <v>44758</v>
      </c>
      <c r="X59" s="169">
        <v>44759</v>
      </c>
      <c r="Y59" s="166" t="s">
        <v>9</v>
      </c>
      <c r="Z59" s="169">
        <v>44760</v>
      </c>
      <c r="AA59" s="169">
        <v>44761</v>
      </c>
      <c r="AB59" s="169">
        <v>44762</v>
      </c>
      <c r="AC59" s="169">
        <v>44763</v>
      </c>
      <c r="AD59" s="169">
        <v>44764</v>
      </c>
      <c r="AE59" s="169">
        <v>44765</v>
      </c>
      <c r="AF59" s="169">
        <v>44766</v>
      </c>
      <c r="AG59" s="166" t="s">
        <v>9</v>
      </c>
      <c r="AH59" s="169">
        <v>44767</v>
      </c>
      <c r="AI59" s="169">
        <v>44768</v>
      </c>
      <c r="AJ59" s="169">
        <v>44769</v>
      </c>
      <c r="AK59" s="169">
        <v>44770</v>
      </c>
      <c r="AL59" s="169">
        <v>44771</v>
      </c>
      <c r="AM59" s="169">
        <v>44772</v>
      </c>
      <c r="AN59" s="169">
        <v>44773</v>
      </c>
      <c r="AO59" s="166" t="s">
        <v>9</v>
      </c>
      <c r="AP59" s="191" t="s">
        <v>10</v>
      </c>
    </row>
    <row r="60" spans="1:43">
      <c r="A60" s="183" t="s">
        <v>11</v>
      </c>
      <c r="B60" s="172"/>
      <c r="C60" s="173"/>
      <c r="D60" s="173"/>
      <c r="E60" s="173">
        <v>0</v>
      </c>
      <c r="F60" s="173">
        <v>104372</v>
      </c>
      <c r="G60" s="173">
        <v>0</v>
      </c>
      <c r="H60" s="173">
        <v>0</v>
      </c>
      <c r="I60" s="185">
        <f>SUM(B60:H60)</f>
        <v>104372</v>
      </c>
      <c r="J60" s="173">
        <v>65514</v>
      </c>
      <c r="K60" s="173">
        <v>95817</v>
      </c>
      <c r="L60" s="173">
        <v>101468</v>
      </c>
      <c r="M60" s="173">
        <v>72659</v>
      </c>
      <c r="N60" s="173">
        <v>102827</v>
      </c>
      <c r="O60" s="173">
        <v>0</v>
      </c>
      <c r="P60" s="173">
        <v>0</v>
      </c>
      <c r="Q60" s="185">
        <f>SUM(J60:P60)</f>
        <v>438285</v>
      </c>
      <c r="R60" s="173">
        <v>72756</v>
      </c>
      <c r="S60" s="173">
        <v>92795</v>
      </c>
      <c r="T60" s="173">
        <v>96477</v>
      </c>
      <c r="U60" s="173">
        <v>69993</v>
      </c>
      <c r="V60" s="173">
        <v>97528</v>
      </c>
      <c r="W60" s="173">
        <v>94404</v>
      </c>
      <c r="X60" s="173">
        <v>0</v>
      </c>
      <c r="Y60" s="185">
        <f>SUM(R60:X60)</f>
        <v>523953</v>
      </c>
      <c r="Z60" s="173">
        <v>113226</v>
      </c>
      <c r="AA60" s="173">
        <v>97529</v>
      </c>
      <c r="AB60" s="173">
        <v>84633</v>
      </c>
      <c r="AC60" s="173">
        <v>96138</v>
      </c>
      <c r="AD60" s="173">
        <v>106526</v>
      </c>
      <c r="AE60" s="173">
        <v>116265</v>
      </c>
      <c r="AF60" s="173">
        <v>0</v>
      </c>
      <c r="AG60" s="185">
        <f>SUM(Z60:AF60)</f>
        <v>614317</v>
      </c>
      <c r="AH60" s="173">
        <v>65969</v>
      </c>
      <c r="AI60" s="173">
        <v>77214</v>
      </c>
      <c r="AJ60" s="173">
        <v>94774</v>
      </c>
      <c r="AK60" s="173">
        <v>92455</v>
      </c>
      <c r="AL60" s="173">
        <v>82160</v>
      </c>
      <c r="AM60" s="173"/>
      <c r="AN60" s="173"/>
      <c r="AO60" s="185">
        <f>AH60+AI60+AJ60+AK60+AL60+AM60+AN60</f>
        <v>412572</v>
      </c>
      <c r="AP60" s="192">
        <f>I60+Q60+Y60+AG60+AO60</f>
        <v>2093499</v>
      </c>
    </row>
    <row r="61" spans="1:43">
      <c r="A61" s="183" t="s">
        <v>12</v>
      </c>
      <c r="B61" s="172"/>
      <c r="C61" s="173"/>
      <c r="D61" s="173"/>
      <c r="E61" s="173"/>
      <c r="F61" s="173"/>
      <c r="G61" s="173"/>
      <c r="H61" s="173"/>
      <c r="I61" s="185">
        <f>SUM(B61:H61)</f>
        <v>0</v>
      </c>
      <c r="J61" s="173"/>
      <c r="K61" s="173"/>
      <c r="L61" s="173"/>
      <c r="M61" s="173"/>
      <c r="N61" s="173"/>
      <c r="O61" s="173"/>
      <c r="P61" s="173"/>
      <c r="Q61" s="185">
        <f>SUM(J61:P61)</f>
        <v>0</v>
      </c>
      <c r="R61" s="173"/>
      <c r="S61" s="173"/>
      <c r="T61" s="173"/>
      <c r="U61" s="173"/>
      <c r="V61" s="173"/>
      <c r="W61" s="173"/>
      <c r="X61" s="173"/>
      <c r="Y61" s="185">
        <f>SUM(R61:X61)</f>
        <v>0</v>
      </c>
      <c r="Z61" s="173"/>
      <c r="AA61" s="173"/>
      <c r="AB61" s="173"/>
      <c r="AC61" s="173"/>
      <c r="AD61" s="173"/>
      <c r="AE61" s="173">
        <v>0</v>
      </c>
      <c r="AF61" s="173">
        <v>0</v>
      </c>
      <c r="AG61" s="185">
        <f>SUM(Z61:AF61)</f>
        <v>0</v>
      </c>
      <c r="AH61" s="173"/>
      <c r="AI61" s="173"/>
      <c r="AJ61" s="173"/>
      <c r="AK61" s="173"/>
      <c r="AL61" s="173"/>
      <c r="AM61" s="173"/>
      <c r="AN61" s="173"/>
      <c r="AO61" s="185">
        <f t="shared" ref="AO61" si="63">AH61+AI61+AJ61+AK61+AL61+AM61+AN61</f>
        <v>0</v>
      </c>
      <c r="AP61" s="192">
        <f t="shared" ref="AP61" si="64">I61+Q61+Y61+AG61+AO61</f>
        <v>0</v>
      </c>
    </row>
    <row r="62" spans="1:43">
      <c r="A62" s="183" t="s">
        <v>13</v>
      </c>
      <c r="B62" s="173">
        <f>B65+B66</f>
        <v>0</v>
      </c>
      <c r="C62" s="173">
        <f t="shared" ref="C62:E62" si="65">C65+C66</f>
        <v>0</v>
      </c>
      <c r="D62" s="173">
        <f t="shared" si="65"/>
        <v>0</v>
      </c>
      <c r="E62" s="173">
        <f t="shared" si="65"/>
        <v>0</v>
      </c>
      <c r="F62" s="173">
        <f>F65+F66</f>
        <v>15448</v>
      </c>
      <c r="G62" s="173">
        <f t="shared" ref="G62:H62" si="66">G65+G66</f>
        <v>4047</v>
      </c>
      <c r="H62" s="173">
        <f t="shared" si="66"/>
        <v>0</v>
      </c>
      <c r="I62" s="185">
        <f>SUM(B62:H62)</f>
        <v>19495</v>
      </c>
      <c r="J62" s="173">
        <f t="shared" ref="J62:AN62" si="67">J65+J66</f>
        <v>0</v>
      </c>
      <c r="K62" s="173">
        <f>K65+K66</f>
        <v>4275</v>
      </c>
      <c r="L62" s="173">
        <f t="shared" si="67"/>
        <v>12457</v>
      </c>
      <c r="M62" s="173">
        <f>M65+M66</f>
        <v>20434</v>
      </c>
      <c r="N62" s="173">
        <f t="shared" si="67"/>
        <v>3630</v>
      </c>
      <c r="O62" s="173">
        <f>O65+O66</f>
        <v>4500</v>
      </c>
      <c r="P62" s="173">
        <f t="shared" si="67"/>
        <v>0</v>
      </c>
      <c r="Q62" s="185">
        <f>SUM(J62:P62)</f>
        <v>45296</v>
      </c>
      <c r="R62" s="173">
        <f>R65+R66</f>
        <v>2960</v>
      </c>
      <c r="S62" s="173">
        <f>S65+S66</f>
        <v>15004</v>
      </c>
      <c r="T62" s="173">
        <f t="shared" si="67"/>
        <v>3857</v>
      </c>
      <c r="U62" s="173">
        <f t="shared" si="67"/>
        <v>16921</v>
      </c>
      <c r="V62" s="173">
        <f t="shared" si="67"/>
        <v>7220</v>
      </c>
      <c r="W62" s="173">
        <f t="shared" si="67"/>
        <v>3781</v>
      </c>
      <c r="X62" s="173">
        <f t="shared" si="67"/>
        <v>0</v>
      </c>
      <c r="Y62" s="185">
        <f>SUM(R62:X62)</f>
        <v>49743</v>
      </c>
      <c r="Z62" s="173">
        <f>Z65+Z66</f>
        <v>13089</v>
      </c>
      <c r="AA62" s="173">
        <f t="shared" si="67"/>
        <v>19331</v>
      </c>
      <c r="AB62" s="173">
        <f>AB65+AB66</f>
        <v>9190</v>
      </c>
      <c r="AC62" s="173">
        <f t="shared" si="67"/>
        <v>12386</v>
      </c>
      <c r="AD62" s="173">
        <f>AD65+AD66</f>
        <v>7090</v>
      </c>
      <c r="AE62" s="173">
        <f t="shared" si="67"/>
        <v>16226.5</v>
      </c>
      <c r="AF62" s="173">
        <f t="shared" si="67"/>
        <v>0</v>
      </c>
      <c r="AG62" s="185">
        <f>SUM(Z62:AF62)</f>
        <v>77312.5</v>
      </c>
      <c r="AH62" s="173">
        <f t="shared" si="67"/>
        <v>12618</v>
      </c>
      <c r="AI62" s="173">
        <f t="shared" si="67"/>
        <v>3760</v>
      </c>
      <c r="AJ62" s="173">
        <f t="shared" si="67"/>
        <v>16031</v>
      </c>
      <c r="AK62" s="173">
        <f t="shared" si="67"/>
        <v>4030</v>
      </c>
      <c r="AL62" s="173">
        <f t="shared" si="67"/>
        <v>12255</v>
      </c>
      <c r="AM62" s="173">
        <f t="shared" si="67"/>
        <v>5240</v>
      </c>
      <c r="AN62" s="173">
        <f t="shared" si="67"/>
        <v>0</v>
      </c>
      <c r="AO62" s="185">
        <f>AH62+AI62+AJ62+AK62+AL62+AM62+AN62</f>
        <v>53934</v>
      </c>
      <c r="AP62" s="192">
        <f>I62+Q62+Y62+AG62+AO62</f>
        <v>245780.5</v>
      </c>
    </row>
    <row r="63" spans="1:43" ht="15.75" thickBot="1">
      <c r="A63" s="183" t="s">
        <v>15</v>
      </c>
      <c r="B63" s="177" t="e">
        <f t="shared" ref="B63:AN63" si="68">B62/B60</f>
        <v>#DIV/0!</v>
      </c>
      <c r="C63" s="177" t="e">
        <f t="shared" si="68"/>
        <v>#DIV/0!</v>
      </c>
      <c r="D63" s="177" t="e">
        <f t="shared" si="68"/>
        <v>#DIV/0!</v>
      </c>
      <c r="E63" s="177" t="e">
        <f t="shared" si="68"/>
        <v>#DIV/0!</v>
      </c>
      <c r="F63" s="177">
        <f t="shared" si="68"/>
        <v>0.14800904457134098</v>
      </c>
      <c r="G63" s="177" t="e">
        <f t="shared" si="68"/>
        <v>#DIV/0!</v>
      </c>
      <c r="H63" s="177" t="e">
        <f t="shared" si="68"/>
        <v>#DIV/0!</v>
      </c>
      <c r="I63" s="176">
        <f t="shared" si="68"/>
        <v>0.18678381175027786</v>
      </c>
      <c r="J63" s="177">
        <f t="shared" si="68"/>
        <v>0</v>
      </c>
      <c r="K63" s="177">
        <f t="shared" si="68"/>
        <v>4.4616299821534804E-2</v>
      </c>
      <c r="L63" s="177">
        <f t="shared" si="68"/>
        <v>0.12276776914889423</v>
      </c>
      <c r="M63" s="177">
        <f t="shared" si="68"/>
        <v>0.28123150607632913</v>
      </c>
      <c r="N63" s="177">
        <f t="shared" si="68"/>
        <v>3.5302012117439975E-2</v>
      </c>
      <c r="O63" s="177" t="e">
        <f t="shared" si="68"/>
        <v>#DIV/0!</v>
      </c>
      <c r="P63" s="177" t="e">
        <f t="shared" si="68"/>
        <v>#DIV/0!</v>
      </c>
      <c r="Q63" s="176">
        <f t="shared" si="68"/>
        <v>0.10334827794699795</v>
      </c>
      <c r="R63" s="177">
        <f t="shared" si="68"/>
        <v>4.0683929847710153E-2</v>
      </c>
      <c r="S63" s="177">
        <f t="shared" si="68"/>
        <v>0.1616897462147745</v>
      </c>
      <c r="T63" s="177">
        <f t="shared" si="68"/>
        <v>3.9978440457311068E-2</v>
      </c>
      <c r="U63" s="177">
        <f t="shared" si="68"/>
        <v>0.24175274670324176</v>
      </c>
      <c r="V63" s="177">
        <f t="shared" si="68"/>
        <v>7.4030022147485844E-2</v>
      </c>
      <c r="W63" s="177">
        <f t="shared" si="68"/>
        <v>4.005126901402483E-2</v>
      </c>
      <c r="X63" s="177" t="e">
        <f t="shared" si="68"/>
        <v>#DIV/0!</v>
      </c>
      <c r="Y63" s="176">
        <f t="shared" si="68"/>
        <v>9.4937904735730119E-2</v>
      </c>
      <c r="Z63" s="177">
        <f t="shared" si="68"/>
        <v>0.11560065709289385</v>
      </c>
      <c r="AA63" s="177">
        <f t="shared" si="68"/>
        <v>0.19820771257779737</v>
      </c>
      <c r="AB63" s="177">
        <f t="shared" si="68"/>
        <v>0.10858648517717676</v>
      </c>
      <c r="AC63" s="177">
        <f t="shared" si="68"/>
        <v>0.12883563211217208</v>
      </c>
      <c r="AD63" s="177">
        <f t="shared" si="68"/>
        <v>6.6556521412612882E-2</v>
      </c>
      <c r="AE63" s="177">
        <f t="shared" si="68"/>
        <v>0.13956478733926805</v>
      </c>
      <c r="AF63" s="177" t="e">
        <f t="shared" si="68"/>
        <v>#DIV/0!</v>
      </c>
      <c r="AG63" s="176">
        <f t="shared" si="68"/>
        <v>0.12585114851127349</v>
      </c>
      <c r="AH63" s="177">
        <f t="shared" si="68"/>
        <v>0.1912716578999227</v>
      </c>
      <c r="AI63" s="177">
        <f t="shared" si="68"/>
        <v>4.8695832362006891E-2</v>
      </c>
      <c r="AJ63" s="177">
        <f t="shared" si="68"/>
        <v>0.16914976681368307</v>
      </c>
      <c r="AK63" s="177">
        <f t="shared" si="68"/>
        <v>4.3588772916553997E-2</v>
      </c>
      <c r="AL63" s="177">
        <f t="shared" si="68"/>
        <v>0.1491601752677702</v>
      </c>
      <c r="AM63" s="177" t="e">
        <f t="shared" si="68"/>
        <v>#DIV/0!</v>
      </c>
      <c r="AN63" s="177" t="e">
        <f t="shared" si="68"/>
        <v>#DIV/0!</v>
      </c>
      <c r="AO63" s="176">
        <f>AO62/AO60</f>
        <v>0.13072627323230854</v>
      </c>
      <c r="AP63" s="193">
        <f>AP62/AP60</f>
        <v>0.11740177568749734</v>
      </c>
    </row>
    <row r="64" spans="1:43">
      <c r="A64" s="151"/>
      <c r="B64" s="178"/>
      <c r="C64" s="178"/>
      <c r="D64" s="178"/>
      <c r="E64" s="178"/>
      <c r="F64" s="178"/>
      <c r="G64" s="186"/>
      <c r="H64" s="178"/>
      <c r="I64" s="151"/>
      <c r="J64" s="178"/>
      <c r="K64" s="178"/>
      <c r="L64" s="178"/>
      <c r="M64" s="178"/>
      <c r="N64" s="178"/>
      <c r="O64" s="178"/>
      <c r="P64" s="188"/>
      <c r="Q64" s="151"/>
      <c r="R64" s="189"/>
      <c r="S64" s="189"/>
      <c r="T64" s="189"/>
      <c r="U64" s="189"/>
      <c r="V64" s="189"/>
      <c r="W64" s="189"/>
      <c r="X64" s="189"/>
      <c r="Y64" s="151"/>
      <c r="Z64" s="188"/>
      <c r="AA64" s="178"/>
      <c r="AB64" s="178"/>
      <c r="AC64" s="178"/>
      <c r="AD64" s="178"/>
      <c r="AE64" s="178"/>
      <c r="AF64" s="178"/>
      <c r="AG64" s="151"/>
      <c r="AH64" s="178"/>
      <c r="AI64" s="188"/>
      <c r="AJ64" s="189"/>
      <c r="AK64" s="189"/>
      <c r="AL64" s="189"/>
      <c r="AM64" s="189"/>
      <c r="AN64" s="189"/>
      <c r="AO64" s="189"/>
      <c r="AP64" s="151"/>
      <c r="AQ64" s="47"/>
    </row>
    <row r="65" spans="1:43" s="162" customFormat="1">
      <c r="A65" s="181" t="s">
        <v>17</v>
      </c>
      <c r="B65" s="180"/>
      <c r="C65" s="180"/>
      <c r="D65" s="180"/>
      <c r="E65" s="180"/>
      <c r="F65" s="180">
        <v>8478</v>
      </c>
      <c r="G65" s="180">
        <v>0</v>
      </c>
      <c r="H65" s="180">
        <v>0</v>
      </c>
      <c r="I65" s="179"/>
      <c r="J65" s="180">
        <v>0</v>
      </c>
      <c r="K65" s="180">
        <v>0</v>
      </c>
      <c r="L65" s="180">
        <v>8367</v>
      </c>
      <c r="M65" s="180">
        <v>8648</v>
      </c>
      <c r="N65" s="180">
        <v>0</v>
      </c>
      <c r="O65" s="180">
        <v>0</v>
      </c>
      <c r="P65" s="180">
        <v>0</v>
      </c>
      <c r="Q65" s="179"/>
      <c r="R65" s="180">
        <v>0</v>
      </c>
      <c r="S65" s="180">
        <f>761+713+701+688+697+707+641+663+707+726+668+742</f>
        <v>8414</v>
      </c>
      <c r="T65" s="180">
        <v>0</v>
      </c>
      <c r="U65" s="180">
        <f>732+711+734+606+751+742+707+672+716+734+709+727</f>
        <v>8541</v>
      </c>
      <c r="V65" s="180">
        <v>0</v>
      </c>
      <c r="W65" s="180">
        <v>0</v>
      </c>
      <c r="X65" s="180">
        <v>0</v>
      </c>
      <c r="Y65" s="179"/>
      <c r="Z65" s="180">
        <f>707+727+686+720+688+709+732+689+715+748+677+691</f>
        <v>8489</v>
      </c>
      <c r="AA65" s="180">
        <f>697+703+688+712+713+676+661+708+746+704+692+705</f>
        <v>8405</v>
      </c>
      <c r="AB65" s="180">
        <v>0</v>
      </c>
      <c r="AC65" s="180">
        <f>729+687+699+713+724+649+724+671+712+701+703+684</f>
        <v>8396</v>
      </c>
      <c r="AD65" s="180">
        <v>0</v>
      </c>
      <c r="AE65" s="180">
        <f>701+675+674+701+715+690+688+723+729+692+735+709</f>
        <v>8432</v>
      </c>
      <c r="AF65" s="180">
        <v>0</v>
      </c>
      <c r="AG65" s="179"/>
      <c r="AH65" s="180">
        <f>685+704+691+673+707+700+691+683+692+688+679+725</f>
        <v>8318</v>
      </c>
      <c r="AI65" s="180">
        <v>0</v>
      </c>
      <c r="AJ65" s="180">
        <f>718+696+715+730+691+691+726+712+738+711+672+741</f>
        <v>8541</v>
      </c>
      <c r="AK65" s="180">
        <v>0</v>
      </c>
      <c r="AL65" s="180">
        <f>688+698+640+680+671+707+740+715+664+728+706+688</f>
        <v>8325</v>
      </c>
      <c r="AM65" s="180">
        <v>0</v>
      </c>
      <c r="AN65" s="180">
        <v>0</v>
      </c>
      <c r="AO65" s="180">
        <f>SUM(F65:AN65)</f>
        <v>101354</v>
      </c>
      <c r="AP65" s="195" t="s">
        <v>17</v>
      </c>
      <c r="AQ65" s="121"/>
    </row>
    <row r="66" spans="1:43" s="162" customFormat="1">
      <c r="A66" s="179" t="s">
        <v>16</v>
      </c>
      <c r="B66" s="160"/>
      <c r="C66" s="182"/>
      <c r="D66" s="160"/>
      <c r="E66" s="160"/>
      <c r="F66" s="182">
        <v>6970</v>
      </c>
      <c r="G66" s="182">
        <v>4047</v>
      </c>
      <c r="H66" s="182">
        <v>0</v>
      </c>
      <c r="I66" s="181"/>
      <c r="J66" s="182">
        <v>0</v>
      </c>
      <c r="K66" s="182">
        <v>4275</v>
      </c>
      <c r="L66" s="160">
        <v>4090</v>
      </c>
      <c r="M66" s="160">
        <v>11786</v>
      </c>
      <c r="N66" s="182">
        <v>3630</v>
      </c>
      <c r="O66" s="182">
        <v>4500</v>
      </c>
      <c r="P66" s="160">
        <v>0</v>
      </c>
      <c r="Q66" s="181"/>
      <c r="R66" s="160">
        <v>2960</v>
      </c>
      <c r="S66" s="160">
        <v>6590</v>
      </c>
      <c r="T66" s="160">
        <v>3857</v>
      </c>
      <c r="U66" s="160">
        <v>8380</v>
      </c>
      <c r="V66" s="160">
        <v>7220</v>
      </c>
      <c r="W66" s="160">
        <v>3781</v>
      </c>
      <c r="X66" s="160">
        <v>0</v>
      </c>
      <c r="Y66" s="181"/>
      <c r="Z66" s="160">
        <v>4600</v>
      </c>
      <c r="AA66" s="160">
        <v>10926</v>
      </c>
      <c r="AB66" s="160">
        <v>9190</v>
      </c>
      <c r="AC66" s="160">
        <v>3990</v>
      </c>
      <c r="AD66" s="160">
        <v>7090</v>
      </c>
      <c r="AE66" s="160">
        <f>4664.5+3130</f>
        <v>7794.5</v>
      </c>
      <c r="AF66" s="160">
        <v>0</v>
      </c>
      <c r="AG66" s="181"/>
      <c r="AH66" s="160">
        <v>4300</v>
      </c>
      <c r="AI66" s="160">
        <v>3760</v>
      </c>
      <c r="AJ66" s="160">
        <f>3860+3630</f>
        <v>7490</v>
      </c>
      <c r="AK66" s="160">
        <v>4030</v>
      </c>
      <c r="AL66" s="190">
        <v>3930</v>
      </c>
      <c r="AM66" s="160">
        <f>2070+3170</f>
        <v>5240</v>
      </c>
      <c r="AN66" s="160">
        <v>0</v>
      </c>
      <c r="AO66" s="180">
        <f>SUM(F66:AN66)</f>
        <v>144426.5</v>
      </c>
      <c r="AP66" s="194" t="s">
        <v>16</v>
      </c>
      <c r="AQ66" s="196"/>
    </row>
    <row r="67" spans="1:43" ht="15.75" thickBot="1">
      <c r="A67" s="304" t="s">
        <v>24</v>
      </c>
      <c r="B67" s="163" t="s">
        <v>3</v>
      </c>
      <c r="C67" s="163" t="s">
        <v>4</v>
      </c>
      <c r="D67" s="163" t="s">
        <v>4</v>
      </c>
      <c r="E67" s="163" t="s">
        <v>5</v>
      </c>
      <c r="F67" s="163" t="s">
        <v>6</v>
      </c>
      <c r="G67" s="163" t="s">
        <v>7</v>
      </c>
      <c r="H67" s="163" t="s">
        <v>2</v>
      </c>
      <c r="I67" s="163"/>
      <c r="J67" s="163" t="s">
        <v>3</v>
      </c>
      <c r="K67" s="163" t="s">
        <v>4</v>
      </c>
      <c r="L67" s="163" t="s">
        <v>4</v>
      </c>
      <c r="M67" s="163" t="s">
        <v>5</v>
      </c>
      <c r="N67" s="163" t="s">
        <v>182</v>
      </c>
      <c r="O67" s="163" t="s">
        <v>7</v>
      </c>
      <c r="P67" s="163" t="s">
        <v>2</v>
      </c>
      <c r="Q67" s="163"/>
      <c r="R67" s="163" t="s">
        <v>3</v>
      </c>
      <c r="S67" s="163" t="s">
        <v>4</v>
      </c>
      <c r="T67" s="163" t="s">
        <v>4</v>
      </c>
      <c r="U67" s="163" t="s">
        <v>5</v>
      </c>
      <c r="V67" s="163" t="s">
        <v>6</v>
      </c>
      <c r="W67" s="163" t="s">
        <v>7</v>
      </c>
      <c r="X67" s="163" t="s">
        <v>2</v>
      </c>
      <c r="Y67" s="163"/>
      <c r="Z67" s="163" t="s">
        <v>3</v>
      </c>
      <c r="AA67" s="163" t="s">
        <v>4</v>
      </c>
      <c r="AB67" s="163" t="s">
        <v>4</v>
      </c>
      <c r="AC67" s="163" t="s">
        <v>5</v>
      </c>
      <c r="AD67" s="163" t="s">
        <v>6</v>
      </c>
      <c r="AE67" s="163" t="s">
        <v>7</v>
      </c>
      <c r="AF67" s="163" t="s">
        <v>2</v>
      </c>
      <c r="AG67" s="163"/>
      <c r="AH67" s="163" t="s">
        <v>3</v>
      </c>
      <c r="AI67" s="163" t="s">
        <v>4</v>
      </c>
      <c r="AJ67" s="163" t="s">
        <v>4</v>
      </c>
      <c r="AK67" s="163" t="s">
        <v>5</v>
      </c>
      <c r="AL67" s="163" t="s">
        <v>6</v>
      </c>
      <c r="AM67" s="163" t="s">
        <v>7</v>
      </c>
      <c r="AN67" s="163" t="s">
        <v>2</v>
      </c>
      <c r="AO67" s="151"/>
      <c r="AP67" s="47">
        <f>SUM(B67:AO67)</f>
        <v>0</v>
      </c>
    </row>
    <row r="68" spans="1:43" ht="15.75" thickBot="1">
      <c r="A68" s="164" t="s">
        <v>8</v>
      </c>
      <c r="B68" s="169">
        <v>44774</v>
      </c>
      <c r="C68" s="169">
        <v>44775</v>
      </c>
      <c r="D68" s="169">
        <v>44776</v>
      </c>
      <c r="E68" s="169">
        <v>44777</v>
      </c>
      <c r="F68" s="169">
        <v>44778</v>
      </c>
      <c r="G68" s="169">
        <v>44779</v>
      </c>
      <c r="H68" s="169">
        <v>44780</v>
      </c>
      <c r="I68" s="166" t="s">
        <v>9</v>
      </c>
      <c r="J68" s="169">
        <v>44781</v>
      </c>
      <c r="K68" s="169">
        <v>44782</v>
      </c>
      <c r="L68" s="169">
        <v>44783</v>
      </c>
      <c r="M68" s="169">
        <v>44784</v>
      </c>
      <c r="N68" s="169">
        <v>44785</v>
      </c>
      <c r="O68" s="169">
        <v>44786</v>
      </c>
      <c r="P68" s="169">
        <v>44787</v>
      </c>
      <c r="Q68" s="166" t="s">
        <v>9</v>
      </c>
      <c r="R68" s="169">
        <v>44788</v>
      </c>
      <c r="S68" s="169">
        <v>44789</v>
      </c>
      <c r="T68" s="169">
        <v>44790</v>
      </c>
      <c r="U68" s="169">
        <v>44791</v>
      </c>
      <c r="V68" s="169">
        <v>44792</v>
      </c>
      <c r="W68" s="169">
        <v>44793</v>
      </c>
      <c r="X68" s="169">
        <v>44794</v>
      </c>
      <c r="Y68" s="166" t="s">
        <v>9</v>
      </c>
      <c r="Z68" s="169">
        <v>44795</v>
      </c>
      <c r="AA68" s="169">
        <v>44796</v>
      </c>
      <c r="AB68" s="169">
        <v>44797</v>
      </c>
      <c r="AC68" s="169">
        <v>44798</v>
      </c>
      <c r="AD68" s="169">
        <v>44799</v>
      </c>
      <c r="AE68" s="169">
        <v>44800</v>
      </c>
      <c r="AF68" s="169">
        <v>44801</v>
      </c>
      <c r="AG68" s="166" t="s">
        <v>9</v>
      </c>
      <c r="AH68" s="169">
        <v>44802</v>
      </c>
      <c r="AI68" s="169">
        <v>44803</v>
      </c>
      <c r="AJ68" s="169">
        <v>44804</v>
      </c>
      <c r="AK68" s="169"/>
      <c r="AL68" s="169"/>
      <c r="AM68" s="169"/>
      <c r="AN68" s="169"/>
      <c r="AO68" s="166" t="s">
        <v>9</v>
      </c>
      <c r="AP68" s="191" t="s">
        <v>10</v>
      </c>
    </row>
    <row r="69" spans="1:43">
      <c r="A69" s="170" t="s">
        <v>11</v>
      </c>
      <c r="B69" s="172">
        <v>136043</v>
      </c>
      <c r="C69" s="173">
        <v>93992</v>
      </c>
      <c r="D69" s="173">
        <f>81445+10000</f>
        <v>91445</v>
      </c>
      <c r="E69" s="173">
        <v>103601</v>
      </c>
      <c r="F69" s="173">
        <v>109726</v>
      </c>
      <c r="G69" s="173">
        <v>116518</v>
      </c>
      <c r="H69" s="173">
        <v>0</v>
      </c>
      <c r="I69" s="185">
        <f>SUM(B69:H69)</f>
        <v>651325</v>
      </c>
      <c r="J69" s="173">
        <v>106985</v>
      </c>
      <c r="K69" s="173">
        <v>120386</v>
      </c>
      <c r="L69" s="173">
        <v>85189</v>
      </c>
      <c r="M69" s="173">
        <v>120036</v>
      </c>
      <c r="N69" s="173">
        <v>120232</v>
      </c>
      <c r="O69" s="173">
        <v>81641</v>
      </c>
      <c r="P69" s="173"/>
      <c r="Q69" s="185">
        <f>SUM(J69:P69)</f>
        <v>634469</v>
      </c>
      <c r="R69" s="173">
        <v>70140</v>
      </c>
      <c r="S69" s="173">
        <v>191044</v>
      </c>
      <c r="T69" s="173">
        <v>102545</v>
      </c>
      <c r="U69" s="173">
        <v>119888</v>
      </c>
      <c r="V69" s="173">
        <v>107124</v>
      </c>
      <c r="W69" s="173">
        <v>104362</v>
      </c>
      <c r="X69" s="173">
        <v>0</v>
      </c>
      <c r="Y69" s="185">
        <f>SUM(R69:X69)</f>
        <v>695103</v>
      </c>
      <c r="Z69" s="173">
        <v>65658</v>
      </c>
      <c r="AA69" s="173">
        <v>46230</v>
      </c>
      <c r="AB69" s="173">
        <v>97337</v>
      </c>
      <c r="AC69" s="173">
        <v>82217</v>
      </c>
      <c r="AD69" s="173">
        <v>116573</v>
      </c>
      <c r="AE69" s="173">
        <v>61799</v>
      </c>
      <c r="AF69" s="173"/>
      <c r="AG69" s="185">
        <f>SUM(Z69:AF69)</f>
        <v>469814</v>
      </c>
      <c r="AH69" s="173">
        <v>57715</v>
      </c>
      <c r="AI69" s="173">
        <v>82164</v>
      </c>
      <c r="AJ69" s="173">
        <v>75689</v>
      </c>
      <c r="AK69" s="173"/>
      <c r="AL69" s="173"/>
      <c r="AM69" s="173"/>
      <c r="AN69" s="173"/>
      <c r="AO69" s="185">
        <f>AH69+AI69+AJ69</f>
        <v>215568</v>
      </c>
      <c r="AP69" s="192">
        <f>I69+Q69+Y69+AG69+AO69</f>
        <v>2666279</v>
      </c>
    </row>
    <row r="70" spans="1:43">
      <c r="A70" s="170" t="s">
        <v>12</v>
      </c>
      <c r="B70" s="172"/>
      <c r="C70" s="173"/>
      <c r="D70" s="173"/>
      <c r="E70" s="173"/>
      <c r="F70" s="173"/>
      <c r="G70" s="173"/>
      <c r="H70" s="173"/>
      <c r="I70" s="185">
        <f>SUM(B70:H70)</f>
        <v>0</v>
      </c>
      <c r="J70" s="173"/>
      <c r="K70" s="173"/>
      <c r="L70" s="173"/>
      <c r="M70" s="173"/>
      <c r="N70" s="173"/>
      <c r="O70" s="173"/>
      <c r="P70" s="173"/>
      <c r="Q70" s="185">
        <f>SUM(J70:P70)</f>
        <v>0</v>
      </c>
      <c r="R70" s="173"/>
      <c r="S70" s="173"/>
      <c r="T70" s="173"/>
      <c r="U70" s="173"/>
      <c r="V70" s="173"/>
      <c r="W70" s="173"/>
      <c r="X70" s="173"/>
      <c r="Y70" s="185">
        <f>SUM(R70:X70)</f>
        <v>0</v>
      </c>
      <c r="Z70" s="173"/>
      <c r="AA70" s="173"/>
      <c r="AB70" s="173"/>
      <c r="AC70" s="173"/>
      <c r="AD70" s="173"/>
      <c r="AE70" s="173"/>
      <c r="AF70" s="173"/>
      <c r="AG70" s="185">
        <f>SUM(Z70:AF70)</f>
        <v>0</v>
      </c>
      <c r="AH70" s="173"/>
      <c r="AI70" s="173"/>
      <c r="AJ70" s="173"/>
      <c r="AK70" s="173"/>
      <c r="AL70" s="173"/>
      <c r="AM70" s="173"/>
      <c r="AN70" s="173"/>
      <c r="AO70" s="185">
        <f t="shared" ref="AO70" si="69">AH70+AI70+AJ70</f>
        <v>0</v>
      </c>
      <c r="AP70" s="192">
        <f>I70+Q70+Y70+AG70+AO70</f>
        <v>0</v>
      </c>
    </row>
    <row r="71" spans="1:43" ht="15.75" thickBot="1">
      <c r="A71" s="174" t="s">
        <v>13</v>
      </c>
      <c r="B71" s="173">
        <f t="shared" ref="B71:G71" si="70">B74+B75</f>
        <v>0</v>
      </c>
      <c r="C71" s="173">
        <f t="shared" si="70"/>
        <v>6483</v>
      </c>
      <c r="D71" s="173">
        <f t="shared" si="70"/>
        <v>13195</v>
      </c>
      <c r="E71" s="173">
        <f t="shared" si="70"/>
        <v>6892</v>
      </c>
      <c r="F71" s="173">
        <f t="shared" si="70"/>
        <v>16588</v>
      </c>
      <c r="G71" s="173">
        <f t="shared" si="70"/>
        <v>4285</v>
      </c>
      <c r="H71" s="173">
        <v>0</v>
      </c>
      <c r="I71" s="185">
        <f>SUM(B71:H71)</f>
        <v>47443</v>
      </c>
      <c r="J71" s="173">
        <f>J74+J75</f>
        <v>15340</v>
      </c>
      <c r="K71" s="173">
        <f>K74+K75</f>
        <v>11867</v>
      </c>
      <c r="L71" s="173">
        <f>L74+L75</f>
        <v>3790</v>
      </c>
      <c r="M71" s="173">
        <f>M74+M75</f>
        <v>20335</v>
      </c>
      <c r="N71" s="173">
        <f>N74+N75</f>
        <v>15475</v>
      </c>
      <c r="O71" s="173">
        <f t="shared" ref="O71:P71" si="71">O74+O75</f>
        <v>6210</v>
      </c>
      <c r="P71" s="173">
        <f t="shared" si="71"/>
        <v>0</v>
      </c>
      <c r="Q71" s="185">
        <f>SUM(J71:P71)</f>
        <v>73017</v>
      </c>
      <c r="R71" s="173">
        <f t="shared" ref="R71:X71" si="72">R74+R75</f>
        <v>11304</v>
      </c>
      <c r="S71" s="173">
        <f t="shared" si="72"/>
        <v>4290</v>
      </c>
      <c r="T71" s="173">
        <f t="shared" si="72"/>
        <v>11599</v>
      </c>
      <c r="U71" s="173">
        <f t="shared" si="72"/>
        <v>5110</v>
      </c>
      <c r="V71" s="173">
        <f t="shared" si="72"/>
        <v>15727</v>
      </c>
      <c r="W71" s="173">
        <f t="shared" si="72"/>
        <v>3520</v>
      </c>
      <c r="X71" s="173">
        <f t="shared" si="72"/>
        <v>0</v>
      </c>
      <c r="Y71" s="185">
        <f>SUM(R71:X71)</f>
        <v>51550</v>
      </c>
      <c r="Z71" s="173">
        <f t="shared" ref="Z71:AF71" si="73">Z74+Z75</f>
        <v>11520</v>
      </c>
      <c r="AA71" s="173">
        <f t="shared" si="73"/>
        <v>3211</v>
      </c>
      <c r="AB71" s="173">
        <f t="shared" si="73"/>
        <v>3020</v>
      </c>
      <c r="AC71" s="173">
        <f t="shared" si="73"/>
        <v>7405</v>
      </c>
      <c r="AD71" s="173">
        <f t="shared" si="73"/>
        <v>12716</v>
      </c>
      <c r="AE71" s="173">
        <f t="shared" si="73"/>
        <v>4060</v>
      </c>
      <c r="AF71" s="173">
        <f t="shared" si="73"/>
        <v>0</v>
      </c>
      <c r="AG71" s="185">
        <f>SUM(Z71:AF71)</f>
        <v>41932</v>
      </c>
      <c r="AH71" s="173">
        <f t="shared" ref="AH71:AJ71" si="74">AH74+AH75</f>
        <v>9095</v>
      </c>
      <c r="AI71" s="173">
        <f t="shared" si="74"/>
        <v>12537</v>
      </c>
      <c r="AJ71" s="173">
        <f t="shared" si="74"/>
        <v>16845</v>
      </c>
      <c r="AK71" s="173">
        <f>'P2'!AH62</f>
        <v>0</v>
      </c>
      <c r="AL71" s="173">
        <f>'P2'!AI62</f>
        <v>0</v>
      </c>
      <c r="AM71" s="173">
        <f>'P2'!AJ62</f>
        <v>0</v>
      </c>
      <c r="AN71" s="173">
        <f>'P2'!AK62</f>
        <v>0</v>
      </c>
      <c r="AO71" s="185">
        <f>AH71+AI71+AJ71</f>
        <v>38477</v>
      </c>
      <c r="AP71" s="192">
        <f>I71+Q71+Y71+AG71+AO71</f>
        <v>252419</v>
      </c>
    </row>
    <row r="72" spans="1:43" ht="15.75" thickBot="1">
      <c r="A72" s="164" t="s">
        <v>15</v>
      </c>
      <c r="B72" s="177">
        <f t="shared" ref="B72:I72" si="75">B71/B69</f>
        <v>0</v>
      </c>
      <c r="C72" s="177">
        <f t="shared" si="75"/>
        <v>6.8973955230232364E-2</v>
      </c>
      <c r="D72" s="177">
        <f t="shared" si="75"/>
        <v>0.1442943846027667</v>
      </c>
      <c r="E72" s="177">
        <f t="shared" si="75"/>
        <v>6.6524454397158331E-2</v>
      </c>
      <c r="F72" s="177">
        <f t="shared" si="75"/>
        <v>0.15117656708528515</v>
      </c>
      <c r="G72" s="177">
        <f t="shared" si="75"/>
        <v>3.6775433838548553E-2</v>
      </c>
      <c r="H72" s="177" t="e">
        <f t="shared" si="75"/>
        <v>#DIV/0!</v>
      </c>
      <c r="I72" s="176">
        <f t="shared" si="75"/>
        <v>7.2840747706598083E-2</v>
      </c>
      <c r="J72" s="177">
        <f t="shared" ref="J72:R72" si="76">J71/J69</f>
        <v>0.14338458662429313</v>
      </c>
      <c r="K72" s="177">
        <f t="shared" si="76"/>
        <v>9.8574585084644395E-2</v>
      </c>
      <c r="L72" s="177">
        <f t="shared" si="76"/>
        <v>4.4489312000375633E-2</v>
      </c>
      <c r="M72" s="177">
        <f t="shared" si="76"/>
        <v>0.16940751108000934</v>
      </c>
      <c r="N72" s="177">
        <f t="shared" si="76"/>
        <v>0.12870949497637901</v>
      </c>
      <c r="O72" s="177">
        <f t="shared" si="76"/>
        <v>7.6064722382136421E-2</v>
      </c>
      <c r="P72" s="177" t="e">
        <f t="shared" si="76"/>
        <v>#DIV/0!</v>
      </c>
      <c r="Q72" s="176">
        <f t="shared" si="76"/>
        <v>0.11508363686799512</v>
      </c>
      <c r="R72" s="177">
        <f t="shared" si="76"/>
        <v>0.1611633875106929</v>
      </c>
      <c r="S72" s="177">
        <f t="shared" ref="S72:Y72" si="77">S71/S69</f>
        <v>2.24555599757124E-2</v>
      </c>
      <c r="T72" s="177">
        <f t="shared" si="77"/>
        <v>0.11311131698278805</v>
      </c>
      <c r="U72" s="177">
        <f t="shared" si="77"/>
        <v>4.262311490724676E-2</v>
      </c>
      <c r="V72" s="177">
        <f t="shared" si="77"/>
        <v>0.14681117209962286</v>
      </c>
      <c r="W72" s="177">
        <f t="shared" si="77"/>
        <v>3.3728751844541119E-2</v>
      </c>
      <c r="X72" s="177" t="e">
        <f t="shared" si="77"/>
        <v>#DIV/0!</v>
      </c>
      <c r="Y72" s="176">
        <f t="shared" si="77"/>
        <v>7.4161671004153343E-2</v>
      </c>
      <c r="Z72" s="177">
        <f t="shared" ref="Z72:AG72" si="78">Z71/Z69</f>
        <v>0.17545462852965366</v>
      </c>
      <c r="AA72" s="177">
        <f t="shared" si="78"/>
        <v>6.9457062513519366E-2</v>
      </c>
      <c r="AB72" s="177">
        <f t="shared" si="78"/>
        <v>3.1026228463996219E-2</v>
      </c>
      <c r="AC72" s="177">
        <f t="shared" si="78"/>
        <v>9.0066531252660648E-2</v>
      </c>
      <c r="AD72" s="177">
        <f t="shared" si="78"/>
        <v>0.10908186286704469</v>
      </c>
      <c r="AE72" s="177">
        <f t="shared" si="78"/>
        <v>6.5696855936180201E-2</v>
      </c>
      <c r="AF72" s="177" t="e">
        <f t="shared" si="78"/>
        <v>#DIV/0!</v>
      </c>
      <c r="AG72" s="176">
        <f t="shared" si="78"/>
        <v>8.9252342416360514E-2</v>
      </c>
      <c r="AH72" s="177">
        <f t="shared" ref="AH72:AP72" si="79">AH71/AH69</f>
        <v>0.15758468335787923</v>
      </c>
      <c r="AI72" s="177">
        <f t="shared" si="79"/>
        <v>0.15258507375492916</v>
      </c>
      <c r="AJ72" s="177">
        <f t="shared" si="79"/>
        <v>0.22255545719985731</v>
      </c>
      <c r="AK72" s="177" t="e">
        <f t="shared" si="79"/>
        <v>#DIV/0!</v>
      </c>
      <c r="AL72" s="177" t="e">
        <f t="shared" si="79"/>
        <v>#DIV/0!</v>
      </c>
      <c r="AM72" s="177" t="e">
        <f t="shared" si="79"/>
        <v>#DIV/0!</v>
      </c>
      <c r="AN72" s="177" t="e">
        <f t="shared" si="79"/>
        <v>#DIV/0!</v>
      </c>
      <c r="AO72" s="176">
        <f t="shared" si="79"/>
        <v>0.17849124174274475</v>
      </c>
      <c r="AP72" s="193">
        <f t="shared" si="79"/>
        <v>9.4670887780311061E-2</v>
      </c>
    </row>
    <row r="73" spans="1:43">
      <c r="B73" s="178"/>
      <c r="C73" s="178"/>
      <c r="D73" s="178"/>
      <c r="E73" s="178"/>
      <c r="F73" s="178"/>
      <c r="G73" s="186"/>
      <c r="H73" s="178"/>
      <c r="I73" s="151"/>
      <c r="J73" s="178"/>
      <c r="K73" s="178"/>
      <c r="L73" s="178"/>
      <c r="M73" s="178"/>
      <c r="N73" s="178"/>
      <c r="O73" s="178"/>
      <c r="P73" s="188"/>
      <c r="Q73" s="151"/>
      <c r="R73" s="189"/>
      <c r="S73" s="189"/>
      <c r="T73" s="189"/>
      <c r="U73" s="189"/>
      <c r="V73" s="189"/>
      <c r="W73" s="189"/>
      <c r="X73" s="189"/>
      <c r="Y73" s="151"/>
      <c r="Z73" s="188"/>
      <c r="AA73" s="178"/>
      <c r="AB73" s="178"/>
      <c r="AC73" s="178"/>
      <c r="AD73" s="178"/>
      <c r="AE73" s="178"/>
      <c r="AF73" s="178"/>
      <c r="AG73" s="151"/>
      <c r="AH73" s="178"/>
      <c r="AI73" s="188"/>
      <c r="AJ73" s="189"/>
      <c r="AK73" s="189"/>
      <c r="AL73" s="189"/>
      <c r="AM73" s="189"/>
      <c r="AN73" s="189"/>
      <c r="AO73" s="151"/>
      <c r="AP73" s="47"/>
    </row>
    <row r="74" spans="1:43" s="161" customFormat="1">
      <c r="A74" s="181" t="s">
        <v>17</v>
      </c>
      <c r="B74" s="180">
        <v>0</v>
      </c>
      <c r="C74" s="180">
        <v>0</v>
      </c>
      <c r="D74" s="180">
        <v>8565</v>
      </c>
      <c r="E74" s="180">
        <v>0</v>
      </c>
      <c r="F74" s="180">
        <v>8655</v>
      </c>
      <c r="G74" s="180">
        <v>0</v>
      </c>
      <c r="H74" s="180">
        <v>0</v>
      </c>
      <c r="I74" s="179"/>
      <c r="J74" s="180">
        <v>8600</v>
      </c>
      <c r="K74" s="180">
        <v>8227</v>
      </c>
      <c r="L74" s="180">
        <v>0</v>
      </c>
      <c r="M74" s="180">
        <v>8405</v>
      </c>
      <c r="N74" s="180">
        <v>8435</v>
      </c>
      <c r="O74" s="180">
        <v>0</v>
      </c>
      <c r="P74" s="180">
        <v>0</v>
      </c>
      <c r="Q74" s="179"/>
      <c r="R74" s="180">
        <v>8404</v>
      </c>
      <c r="S74" s="180">
        <v>0</v>
      </c>
      <c r="T74" s="180">
        <v>8409</v>
      </c>
      <c r="U74" s="180">
        <v>0</v>
      </c>
      <c r="V74" s="180">
        <v>8457</v>
      </c>
      <c r="W74" s="180">
        <v>0</v>
      </c>
      <c r="X74" s="180">
        <v>0</v>
      </c>
      <c r="Y74" s="179"/>
      <c r="Z74" s="187">
        <v>8641</v>
      </c>
      <c r="AA74" s="180">
        <v>0</v>
      </c>
      <c r="AB74" s="180">
        <v>0</v>
      </c>
      <c r="AC74" s="180">
        <v>0</v>
      </c>
      <c r="AD74" s="180">
        <v>8566</v>
      </c>
      <c r="AE74" s="180">
        <v>0</v>
      </c>
      <c r="AF74" s="180">
        <v>0</v>
      </c>
      <c r="AG74" s="179"/>
      <c r="AH74" s="180">
        <v>0</v>
      </c>
      <c r="AI74" s="180">
        <v>8687</v>
      </c>
      <c r="AJ74" s="180">
        <v>8415</v>
      </c>
      <c r="AK74" s="180"/>
      <c r="AL74" s="180"/>
      <c r="AM74" s="180"/>
      <c r="AN74" s="180">
        <f>SUM(B74:AM74)</f>
        <v>110466</v>
      </c>
      <c r="AO74" s="195" t="s">
        <v>17</v>
      </c>
      <c r="AP74" s="121"/>
    </row>
    <row r="75" spans="1:43" s="161" customFormat="1">
      <c r="A75" s="179" t="s">
        <v>16</v>
      </c>
      <c r="B75" s="160">
        <v>0</v>
      </c>
      <c r="C75" s="182">
        <v>6483</v>
      </c>
      <c r="D75" s="160">
        <v>4630</v>
      </c>
      <c r="E75" s="160">
        <v>6892</v>
      </c>
      <c r="F75" s="182">
        <v>7933</v>
      </c>
      <c r="G75" s="182">
        <v>4285</v>
      </c>
      <c r="H75" s="182">
        <v>0</v>
      </c>
      <c r="I75" s="181"/>
      <c r="J75" s="182">
        <v>6740</v>
      </c>
      <c r="K75" s="182">
        <v>3640</v>
      </c>
      <c r="L75" s="160">
        <v>3790</v>
      </c>
      <c r="M75" s="160">
        <v>11930</v>
      </c>
      <c r="N75" s="182">
        <v>7040</v>
      </c>
      <c r="O75" s="182">
        <v>6210</v>
      </c>
      <c r="P75" s="160">
        <v>0</v>
      </c>
      <c r="Q75" s="181"/>
      <c r="R75" s="160">
        <v>2900</v>
      </c>
      <c r="S75" s="160">
        <v>4290</v>
      </c>
      <c r="T75" s="160">
        <v>3190</v>
      </c>
      <c r="U75" s="160">
        <v>5110</v>
      </c>
      <c r="V75" s="160">
        <v>7270</v>
      </c>
      <c r="W75" s="160">
        <v>3520</v>
      </c>
      <c r="X75" s="160">
        <v>0</v>
      </c>
      <c r="Y75" s="181"/>
      <c r="Z75" s="160">
        <v>2879</v>
      </c>
      <c r="AA75" s="160">
        <v>3211</v>
      </c>
      <c r="AB75" s="160">
        <v>3020</v>
      </c>
      <c r="AC75" s="160">
        <v>7405</v>
      </c>
      <c r="AD75" s="160">
        <v>4150</v>
      </c>
      <c r="AE75" s="160">
        <v>4060</v>
      </c>
      <c r="AF75" s="160">
        <v>0</v>
      </c>
      <c r="AG75" s="181"/>
      <c r="AH75" s="160">
        <v>9095</v>
      </c>
      <c r="AI75" s="160">
        <v>3850</v>
      </c>
      <c r="AJ75" s="160">
        <v>8430</v>
      </c>
      <c r="AK75" s="160"/>
      <c r="AL75" s="190"/>
      <c r="AM75" s="160"/>
      <c r="AN75" s="180">
        <f>SUM(B75:AM75)</f>
        <v>141953</v>
      </c>
      <c r="AO75" s="194" t="s">
        <v>16</v>
      </c>
      <c r="AP75" s="196"/>
    </row>
    <row r="76" spans="1:43" ht="15.75" thickBot="1">
      <c r="A76" s="304" t="s">
        <v>26</v>
      </c>
      <c r="B76" s="163" t="s">
        <v>3</v>
      </c>
      <c r="C76" s="163" t="s">
        <v>4</v>
      </c>
      <c r="D76" s="163" t="s">
        <v>4</v>
      </c>
      <c r="E76" s="163" t="s">
        <v>5</v>
      </c>
      <c r="F76" s="163" t="s">
        <v>6</v>
      </c>
      <c r="G76" s="163" t="s">
        <v>7</v>
      </c>
      <c r="H76" s="163" t="s">
        <v>2</v>
      </c>
      <c r="I76" s="163"/>
      <c r="J76" s="163" t="s">
        <v>3</v>
      </c>
      <c r="K76" s="163" t="s">
        <v>4</v>
      </c>
      <c r="L76" s="163" t="s">
        <v>4</v>
      </c>
      <c r="M76" s="163" t="s">
        <v>5</v>
      </c>
      <c r="N76" s="163" t="s">
        <v>6</v>
      </c>
      <c r="O76" s="163" t="s">
        <v>7</v>
      </c>
      <c r="P76" s="163" t="s">
        <v>2</v>
      </c>
      <c r="Q76" s="163"/>
      <c r="R76" s="163" t="s">
        <v>3</v>
      </c>
      <c r="S76" s="163" t="s">
        <v>4</v>
      </c>
      <c r="T76" s="163" t="s">
        <v>4</v>
      </c>
      <c r="U76" s="163" t="s">
        <v>5</v>
      </c>
      <c r="V76" s="163" t="s">
        <v>6</v>
      </c>
      <c r="W76" s="163" t="s">
        <v>7</v>
      </c>
      <c r="X76" s="163" t="s">
        <v>2</v>
      </c>
      <c r="Y76" s="163"/>
      <c r="Z76" s="163" t="s">
        <v>3</v>
      </c>
      <c r="AA76" s="163" t="s">
        <v>4</v>
      </c>
      <c r="AB76" s="163" t="s">
        <v>4</v>
      </c>
      <c r="AC76" s="163" t="s">
        <v>5</v>
      </c>
      <c r="AD76" s="163" t="s">
        <v>6</v>
      </c>
      <c r="AE76" s="163" t="s">
        <v>7</v>
      </c>
      <c r="AF76" s="163" t="s">
        <v>2</v>
      </c>
      <c r="AG76" s="163"/>
      <c r="AH76" s="163" t="s">
        <v>3</v>
      </c>
      <c r="AI76" s="163" t="s">
        <v>4</v>
      </c>
      <c r="AJ76" s="163" t="s">
        <v>4</v>
      </c>
      <c r="AK76" s="163" t="s">
        <v>5</v>
      </c>
      <c r="AL76" s="163" t="s">
        <v>6</v>
      </c>
      <c r="AM76" s="163" t="s">
        <v>7</v>
      </c>
      <c r="AN76" s="163" t="s">
        <v>2</v>
      </c>
      <c r="AO76" s="151"/>
      <c r="AP76" s="161"/>
    </row>
    <row r="77" spans="1:43" ht="15.75" thickBot="1">
      <c r="A77" s="164" t="s">
        <v>8</v>
      </c>
      <c r="B77" s="168"/>
      <c r="C77" s="168"/>
      <c r="D77" s="169"/>
      <c r="E77" s="169">
        <v>44805</v>
      </c>
      <c r="F77" s="169">
        <v>44806</v>
      </c>
      <c r="G77" s="169">
        <v>44807</v>
      </c>
      <c r="H77" s="169">
        <v>44808</v>
      </c>
      <c r="I77" s="166" t="s">
        <v>9</v>
      </c>
      <c r="J77" s="169">
        <v>44809</v>
      </c>
      <c r="K77" s="169">
        <v>44810</v>
      </c>
      <c r="L77" s="169">
        <v>44811</v>
      </c>
      <c r="M77" s="169">
        <v>44812</v>
      </c>
      <c r="N77" s="169">
        <v>44813</v>
      </c>
      <c r="O77" s="169">
        <v>44814</v>
      </c>
      <c r="P77" s="169">
        <v>44815</v>
      </c>
      <c r="Q77" s="166" t="s">
        <v>9</v>
      </c>
      <c r="R77" s="169">
        <v>44816</v>
      </c>
      <c r="S77" s="169">
        <v>44817</v>
      </c>
      <c r="T77" s="169">
        <v>44818</v>
      </c>
      <c r="U77" s="169">
        <v>44819</v>
      </c>
      <c r="V77" s="169">
        <v>44820</v>
      </c>
      <c r="W77" s="169">
        <v>44821</v>
      </c>
      <c r="X77" s="169">
        <v>44822</v>
      </c>
      <c r="Y77" s="166" t="s">
        <v>9</v>
      </c>
      <c r="Z77" s="169">
        <v>44823</v>
      </c>
      <c r="AA77" s="169">
        <v>44824</v>
      </c>
      <c r="AB77" s="169">
        <v>44825</v>
      </c>
      <c r="AC77" s="169">
        <v>44826</v>
      </c>
      <c r="AD77" s="169">
        <v>44827</v>
      </c>
      <c r="AE77" s="169">
        <v>44828</v>
      </c>
      <c r="AF77" s="169">
        <v>44829</v>
      </c>
      <c r="AG77" s="166" t="s">
        <v>9</v>
      </c>
      <c r="AH77" s="169">
        <v>44830</v>
      </c>
      <c r="AI77" s="169">
        <v>44831</v>
      </c>
      <c r="AJ77" s="169">
        <v>44832</v>
      </c>
      <c r="AK77" s="169">
        <v>44833</v>
      </c>
      <c r="AL77" s="169">
        <v>44834</v>
      </c>
      <c r="AM77" s="169"/>
      <c r="AN77" s="169"/>
      <c r="AO77" s="166" t="s">
        <v>9</v>
      </c>
      <c r="AP77" s="191" t="s">
        <v>10</v>
      </c>
    </row>
    <row r="78" spans="1:43">
      <c r="A78" s="170" t="s">
        <v>11</v>
      </c>
      <c r="B78" s="172"/>
      <c r="C78" s="173"/>
      <c r="D78" s="173"/>
      <c r="E78" s="173">
        <v>89223</v>
      </c>
      <c r="F78" s="173">
        <v>94721</v>
      </c>
      <c r="G78" s="173">
        <v>112412</v>
      </c>
      <c r="H78" s="173"/>
      <c r="I78" s="185">
        <f>SUM(B78:H78)</f>
        <v>296356</v>
      </c>
      <c r="J78" s="173">
        <v>99017</v>
      </c>
      <c r="K78" s="173">
        <v>121920</v>
      </c>
      <c r="L78" s="173">
        <v>117038</v>
      </c>
      <c r="M78" s="173">
        <v>108207</v>
      </c>
      <c r="N78" s="173">
        <v>112136</v>
      </c>
      <c r="O78" s="173">
        <v>106765</v>
      </c>
      <c r="P78" s="173"/>
      <c r="Q78" s="185">
        <f>SUM(J78:P78)</f>
        <v>665083</v>
      </c>
      <c r="R78" s="173">
        <v>0</v>
      </c>
      <c r="S78" s="173"/>
      <c r="T78" s="173"/>
      <c r="U78" s="173"/>
      <c r="V78" s="173"/>
      <c r="W78" s="173"/>
      <c r="X78" s="173"/>
      <c r="Y78" s="185">
        <f>SUM(R78:X78)</f>
        <v>0</v>
      </c>
      <c r="Z78" s="173"/>
      <c r="AA78" s="173"/>
      <c r="AB78" s="173"/>
      <c r="AC78" s="173"/>
      <c r="AD78" s="173"/>
      <c r="AE78" s="173"/>
      <c r="AF78" s="173"/>
      <c r="AG78" s="185">
        <f>SUM(Z78:AF78)</f>
        <v>0</v>
      </c>
      <c r="AH78" s="173"/>
      <c r="AI78" s="173"/>
      <c r="AJ78" s="173"/>
      <c r="AK78" s="173"/>
      <c r="AL78" s="173"/>
      <c r="AM78" s="173"/>
      <c r="AN78" s="173"/>
      <c r="AO78" s="185">
        <f>AH78+AI78+AJ78+AK78+AL78+AM78+AN78</f>
        <v>0</v>
      </c>
      <c r="AP78" s="192">
        <f>I78+Q78+Y78+AG78+AO78</f>
        <v>961439</v>
      </c>
    </row>
    <row r="79" spans="1:43">
      <c r="A79" s="170" t="s">
        <v>12</v>
      </c>
      <c r="B79" s="172"/>
      <c r="C79" s="173"/>
      <c r="D79" s="173"/>
      <c r="E79" s="173"/>
      <c r="F79" s="173"/>
      <c r="G79" s="173"/>
      <c r="H79" s="173"/>
      <c r="I79" s="185">
        <f>SUM(B79:H79)</f>
        <v>0</v>
      </c>
      <c r="J79" s="173"/>
      <c r="K79" s="173"/>
      <c r="L79" s="173"/>
      <c r="M79" s="173"/>
      <c r="N79" s="173"/>
      <c r="O79" s="173"/>
      <c r="P79" s="173"/>
      <c r="Q79" s="185">
        <f>SUM(J79:P79)</f>
        <v>0</v>
      </c>
      <c r="R79" s="173"/>
      <c r="S79" s="173"/>
      <c r="T79" s="173"/>
      <c r="U79" s="173"/>
      <c r="V79" s="173"/>
      <c r="W79" s="173"/>
      <c r="X79" s="173"/>
      <c r="Y79" s="185">
        <f>SUM(R79:X79)</f>
        <v>0</v>
      </c>
      <c r="Z79" s="173"/>
      <c r="AA79" s="173"/>
      <c r="AB79" s="173"/>
      <c r="AC79" s="173"/>
      <c r="AD79" s="173"/>
      <c r="AE79" s="173"/>
      <c r="AF79" s="173"/>
      <c r="AG79" s="185">
        <f>SUM(Z79:AF79)</f>
        <v>0</v>
      </c>
      <c r="AH79" s="173"/>
      <c r="AI79" s="173"/>
      <c r="AJ79" s="173"/>
      <c r="AK79" s="173"/>
      <c r="AL79" s="173"/>
      <c r="AM79" s="173"/>
      <c r="AN79" s="173"/>
      <c r="AO79" s="185">
        <f t="shared" ref="AO79:AO80" si="80">AH79+AI79+AJ79+AK79+AL79+AM79+AN79</f>
        <v>0</v>
      </c>
      <c r="AP79" s="192">
        <f t="shared" ref="AP79" si="81">I79+Q79+Y79+AG79+AO79</f>
        <v>0</v>
      </c>
    </row>
    <row r="80" spans="1:43" ht="15.75" thickBot="1">
      <c r="A80" s="174" t="s">
        <v>13</v>
      </c>
      <c r="B80" s="173"/>
      <c r="C80" s="173"/>
      <c r="D80" s="173">
        <f>'P2'!B70</f>
        <v>0</v>
      </c>
      <c r="E80" s="173">
        <f>SUM(E83:E84)</f>
        <v>6310</v>
      </c>
      <c r="F80" s="173">
        <f>SUM(F83:F84)</f>
        <v>3360</v>
      </c>
      <c r="G80" s="173">
        <f>SUM(G83:G84)</f>
        <v>3320</v>
      </c>
      <c r="H80" s="173">
        <f>'P2'!F70</f>
        <v>0</v>
      </c>
      <c r="I80" s="185">
        <f>SUM(B80:H80)</f>
        <v>12990</v>
      </c>
      <c r="J80" s="173">
        <f>SUM(J83:J84)</f>
        <v>16452</v>
      </c>
      <c r="K80" s="173">
        <f t="shared" ref="K80:P80" si="82">SUM(K83:K84)</f>
        <v>16438</v>
      </c>
      <c r="L80" s="173">
        <f t="shared" si="82"/>
        <v>15989</v>
      </c>
      <c r="M80" s="173">
        <f t="shared" si="82"/>
        <v>7120</v>
      </c>
      <c r="N80" s="173">
        <f t="shared" si="82"/>
        <v>15463</v>
      </c>
      <c r="O80" s="173">
        <f>SUM(O83:O84)</f>
        <v>6540</v>
      </c>
      <c r="P80" s="173">
        <f t="shared" si="82"/>
        <v>0</v>
      </c>
      <c r="Q80" s="185">
        <f>SUM(J80:P80)</f>
        <v>78002</v>
      </c>
      <c r="R80" s="173">
        <f>'P2'!N70</f>
        <v>12785</v>
      </c>
      <c r="S80" s="173">
        <f>'P2'!O70</f>
        <v>0</v>
      </c>
      <c r="T80" s="173">
        <f>'P2'!P70</f>
        <v>9057</v>
      </c>
      <c r="U80" s="173">
        <f>'P2'!Q70</f>
        <v>0</v>
      </c>
      <c r="V80" s="173">
        <f>'P2'!R70</f>
        <v>0</v>
      </c>
      <c r="W80" s="173">
        <f>'P2'!S70</f>
        <v>0</v>
      </c>
      <c r="X80" s="173">
        <f>'P2'!T70</f>
        <v>0</v>
      </c>
      <c r="Y80" s="185">
        <f>SUM(R80:X80)</f>
        <v>21842</v>
      </c>
      <c r="Z80" s="173">
        <f>'P2'!U70</f>
        <v>0</v>
      </c>
      <c r="AA80" s="173">
        <f>'P2'!V70</f>
        <v>0</v>
      </c>
      <c r="AB80" s="173">
        <f>'P2'!W70</f>
        <v>0</v>
      </c>
      <c r="AC80" s="173">
        <f>'P2'!X70</f>
        <v>0</v>
      </c>
      <c r="AD80" s="173">
        <f>'P2'!Y70</f>
        <v>0</v>
      </c>
      <c r="AE80" s="173">
        <f>'P2'!Z70</f>
        <v>0</v>
      </c>
      <c r="AF80" s="173">
        <f>'P2'!AA70</f>
        <v>0</v>
      </c>
      <c r="AG80" s="185">
        <f>SUM(Z80:AF80)</f>
        <v>0</v>
      </c>
      <c r="AH80" s="173">
        <f>'P2'!AB70</f>
        <v>0</v>
      </c>
      <c r="AI80" s="173">
        <f>'P2'!AC70</f>
        <v>0</v>
      </c>
      <c r="AJ80" s="173">
        <f>'P2'!AD70</f>
        <v>0</v>
      </c>
      <c r="AK80" s="173">
        <f>'P2'!AE70</f>
        <v>0</v>
      </c>
      <c r="AL80" s="173">
        <f>'P2'!AF70</f>
        <v>0</v>
      </c>
      <c r="AM80" s="173">
        <f>'P2'!AG70</f>
        <v>0</v>
      </c>
      <c r="AN80" s="173">
        <f>'P2'!AH70</f>
        <v>0</v>
      </c>
      <c r="AO80" s="185">
        <f t="shared" si="80"/>
        <v>0</v>
      </c>
      <c r="AP80" s="192">
        <f>I80+Q80+Y80+AG80+AO80</f>
        <v>112834</v>
      </c>
    </row>
    <row r="81" spans="1:43" ht="15.75" thickBot="1">
      <c r="A81" s="164" t="s">
        <v>15</v>
      </c>
      <c r="B81" s="177" t="e">
        <f t="shared" ref="B81:I81" si="83">B80/B78</f>
        <v>#DIV/0!</v>
      </c>
      <c r="C81" s="177" t="e">
        <f t="shared" si="83"/>
        <v>#DIV/0!</v>
      </c>
      <c r="D81" s="177" t="e">
        <f t="shared" si="83"/>
        <v>#DIV/0!</v>
      </c>
      <c r="E81" s="177">
        <f t="shared" si="83"/>
        <v>7.0721674904452886E-2</v>
      </c>
      <c r="F81" s="177">
        <f t="shared" si="83"/>
        <v>3.5472598473411387E-2</v>
      </c>
      <c r="G81" s="177">
        <f t="shared" si="83"/>
        <v>2.9534213429171261E-2</v>
      </c>
      <c r="H81" s="177" t="e">
        <f t="shared" si="83"/>
        <v>#DIV/0!</v>
      </c>
      <c r="I81" s="176">
        <f t="shared" si="83"/>
        <v>4.3832417767819785E-2</v>
      </c>
      <c r="J81" s="177">
        <f t="shared" ref="J81:R81" si="84">J80/J78</f>
        <v>0.16615328680933578</v>
      </c>
      <c r="K81" s="177">
        <f t="shared" si="84"/>
        <v>0.13482611548556431</v>
      </c>
      <c r="L81" s="177">
        <f t="shared" si="84"/>
        <v>0.13661374938054308</v>
      </c>
      <c r="M81" s="177">
        <f t="shared" si="84"/>
        <v>6.5799809624146319E-2</v>
      </c>
      <c r="N81" s="177">
        <f t="shared" si="84"/>
        <v>0.13789505600342442</v>
      </c>
      <c r="O81" s="177">
        <f t="shared" si="84"/>
        <v>6.1256029597714604E-2</v>
      </c>
      <c r="P81" s="177" t="e">
        <f t="shared" si="84"/>
        <v>#DIV/0!</v>
      </c>
      <c r="Q81" s="176">
        <f t="shared" si="84"/>
        <v>0.11728160244661193</v>
      </c>
      <c r="R81" s="177" t="e">
        <f t="shared" si="84"/>
        <v>#DIV/0!</v>
      </c>
      <c r="S81" s="177" t="e">
        <f t="shared" ref="S81:Y81" si="85">S80/S78</f>
        <v>#DIV/0!</v>
      </c>
      <c r="T81" s="177" t="e">
        <f t="shared" si="85"/>
        <v>#DIV/0!</v>
      </c>
      <c r="U81" s="177" t="e">
        <f t="shared" si="85"/>
        <v>#DIV/0!</v>
      </c>
      <c r="V81" s="177" t="e">
        <f t="shared" si="85"/>
        <v>#DIV/0!</v>
      </c>
      <c r="W81" s="177" t="e">
        <f t="shared" si="85"/>
        <v>#DIV/0!</v>
      </c>
      <c r="X81" s="177" t="e">
        <f t="shared" si="85"/>
        <v>#DIV/0!</v>
      </c>
      <c r="Y81" s="176" t="e">
        <f t="shared" si="85"/>
        <v>#DIV/0!</v>
      </c>
      <c r="Z81" s="177" t="e">
        <f t="shared" ref="Z81:AG81" si="86">Z80/Z78</f>
        <v>#DIV/0!</v>
      </c>
      <c r="AA81" s="177" t="e">
        <f t="shared" si="86"/>
        <v>#DIV/0!</v>
      </c>
      <c r="AB81" s="177" t="e">
        <f t="shared" si="86"/>
        <v>#DIV/0!</v>
      </c>
      <c r="AC81" s="177" t="e">
        <f t="shared" si="86"/>
        <v>#DIV/0!</v>
      </c>
      <c r="AD81" s="177" t="e">
        <f t="shared" si="86"/>
        <v>#DIV/0!</v>
      </c>
      <c r="AE81" s="177" t="e">
        <f t="shared" si="86"/>
        <v>#DIV/0!</v>
      </c>
      <c r="AF81" s="177" t="e">
        <f t="shared" si="86"/>
        <v>#DIV/0!</v>
      </c>
      <c r="AG81" s="176" t="e">
        <f t="shared" si="86"/>
        <v>#DIV/0!</v>
      </c>
      <c r="AH81" s="177" t="e">
        <f t="shared" ref="AH81:AP81" si="87">AH80/AH78</f>
        <v>#DIV/0!</v>
      </c>
      <c r="AI81" s="177" t="e">
        <f t="shared" si="87"/>
        <v>#DIV/0!</v>
      </c>
      <c r="AJ81" s="177" t="e">
        <f t="shared" si="87"/>
        <v>#DIV/0!</v>
      </c>
      <c r="AK81" s="177" t="e">
        <f t="shared" si="87"/>
        <v>#DIV/0!</v>
      </c>
      <c r="AL81" s="177" t="e">
        <f t="shared" si="87"/>
        <v>#DIV/0!</v>
      </c>
      <c r="AM81" s="177" t="e">
        <f t="shared" si="87"/>
        <v>#DIV/0!</v>
      </c>
      <c r="AN81" s="177" t="e">
        <f t="shared" si="87"/>
        <v>#DIV/0!</v>
      </c>
      <c r="AO81" s="176" t="e">
        <f t="shared" si="87"/>
        <v>#DIV/0!</v>
      </c>
      <c r="AP81" s="193">
        <f t="shared" si="87"/>
        <v>0.11735949966664552</v>
      </c>
    </row>
    <row r="82" spans="1:43">
      <c r="B82" s="178"/>
      <c r="C82" s="178"/>
      <c r="D82" s="178"/>
      <c r="E82" s="178"/>
      <c r="F82" s="178"/>
      <c r="G82" s="186"/>
      <c r="H82" s="178"/>
      <c r="I82" s="151"/>
      <c r="J82" s="178"/>
      <c r="K82" s="178"/>
      <c r="L82" s="178"/>
      <c r="M82" s="178"/>
      <c r="N82" s="178"/>
      <c r="O82" s="178"/>
      <c r="P82" s="188"/>
      <c r="Q82" s="151"/>
      <c r="R82" s="189"/>
      <c r="S82" s="189"/>
      <c r="T82" s="189"/>
      <c r="U82" s="189"/>
      <c r="V82" s="189"/>
      <c r="W82" s="189"/>
      <c r="X82" s="189"/>
      <c r="Y82" s="151"/>
      <c r="Z82" s="188"/>
      <c r="AA82" s="178"/>
      <c r="AB82" s="178"/>
      <c r="AC82" s="178"/>
      <c r="AD82" s="178"/>
      <c r="AE82" s="178"/>
      <c r="AF82" s="178"/>
      <c r="AG82" s="151"/>
      <c r="AH82" s="178"/>
      <c r="AI82" s="188"/>
      <c r="AJ82" s="189"/>
      <c r="AK82" s="189"/>
      <c r="AL82" s="189"/>
      <c r="AM82" s="189"/>
      <c r="AN82" s="189"/>
      <c r="AO82" s="151"/>
      <c r="AP82" s="47"/>
    </row>
    <row r="83" spans="1:43">
      <c r="A83" s="181" t="s">
        <v>17</v>
      </c>
      <c r="B83" s="180"/>
      <c r="C83" s="180"/>
      <c r="D83" s="180"/>
      <c r="E83" s="180">
        <v>0</v>
      </c>
      <c r="F83" s="180">
        <v>0</v>
      </c>
      <c r="G83" s="180">
        <v>0</v>
      </c>
      <c r="H83" s="180">
        <v>0</v>
      </c>
      <c r="I83" s="179"/>
      <c r="J83" s="180">
        <v>8472</v>
      </c>
      <c r="K83" s="180">
        <v>8428</v>
      </c>
      <c r="L83" s="180">
        <v>8489</v>
      </c>
      <c r="M83" s="180">
        <v>0</v>
      </c>
      <c r="N83" s="180">
        <v>8353</v>
      </c>
      <c r="O83" s="180">
        <v>0</v>
      </c>
      <c r="P83" s="187">
        <v>0</v>
      </c>
      <c r="Q83" s="179"/>
      <c r="R83" s="180">
        <v>8646</v>
      </c>
      <c r="S83" s="180">
        <v>0</v>
      </c>
      <c r="T83" s="180">
        <v>8821</v>
      </c>
      <c r="U83" s="180">
        <v>8427</v>
      </c>
      <c r="V83" s="180"/>
      <c r="W83" s="180"/>
      <c r="X83" s="180"/>
      <c r="Y83" s="179"/>
      <c r="Z83" s="187"/>
      <c r="AA83" s="180"/>
      <c r="AB83" s="180"/>
      <c r="AC83" s="180"/>
      <c r="AD83" s="180"/>
      <c r="AE83" s="180"/>
      <c r="AF83" s="180"/>
      <c r="AG83" s="179"/>
      <c r="AH83" s="180"/>
      <c r="AI83" s="187"/>
      <c r="AJ83" s="180"/>
      <c r="AK83" s="180"/>
      <c r="AL83" s="180"/>
      <c r="AM83" s="180"/>
      <c r="AN83" s="180">
        <f>SUM(AH83:AK83,Z83:AF83,R83:X83,J83:P83,D83:H83)</f>
        <v>59636</v>
      </c>
      <c r="AO83" s="195" t="s">
        <v>17</v>
      </c>
      <c r="AP83" s="121"/>
    </row>
    <row r="84" spans="1:43">
      <c r="A84" s="179" t="s">
        <v>16</v>
      </c>
      <c r="B84" s="160"/>
      <c r="C84" s="182"/>
      <c r="D84" s="160"/>
      <c r="E84" s="160">
        <v>6310</v>
      </c>
      <c r="F84" s="182">
        <v>3360</v>
      </c>
      <c r="G84" s="182">
        <v>3320</v>
      </c>
      <c r="H84" s="182">
        <v>0</v>
      </c>
      <c r="I84" s="181"/>
      <c r="J84" s="182">
        <v>7980</v>
      </c>
      <c r="K84" s="182">
        <v>8010</v>
      </c>
      <c r="L84" s="160">
        <v>7500</v>
      </c>
      <c r="M84" s="160">
        <v>7120</v>
      </c>
      <c r="N84" s="182">
        <v>7110</v>
      </c>
      <c r="O84" s="182">
        <v>6540</v>
      </c>
      <c r="P84" s="160">
        <v>0</v>
      </c>
      <c r="Q84" s="181"/>
      <c r="R84" s="160">
        <v>4820</v>
      </c>
      <c r="S84" s="160">
        <v>7820</v>
      </c>
      <c r="T84" s="160">
        <v>8630</v>
      </c>
      <c r="U84" s="160">
        <v>8060</v>
      </c>
      <c r="V84" s="160"/>
      <c r="W84" s="160"/>
      <c r="X84" s="160"/>
      <c r="Y84" s="181"/>
      <c r="Z84" s="160"/>
      <c r="AA84" s="160"/>
      <c r="AB84" s="160"/>
      <c r="AC84" s="160"/>
      <c r="AD84" s="160"/>
      <c r="AE84" s="160"/>
      <c r="AF84" s="160"/>
      <c r="AG84" s="181"/>
      <c r="AH84" s="160"/>
      <c r="AI84" s="160"/>
      <c r="AJ84" s="160"/>
      <c r="AK84" s="160"/>
      <c r="AL84" s="190"/>
      <c r="AM84" s="160"/>
      <c r="AN84" s="160">
        <f>SUM(AH84:AK84,Z84:AF84,R84:X84,J84:P84,D84:H84)</f>
        <v>86580</v>
      </c>
      <c r="AO84" s="194" t="s">
        <v>16</v>
      </c>
      <c r="AP84" s="196"/>
    </row>
    <row r="85" spans="1:43" ht="15.75" thickBot="1">
      <c r="A85" s="151" t="s">
        <v>27</v>
      </c>
      <c r="B85" s="163" t="s">
        <v>3</v>
      </c>
      <c r="C85" s="163" t="s">
        <v>4</v>
      </c>
      <c r="D85" s="163" t="s">
        <v>4</v>
      </c>
      <c r="E85" s="163" t="s">
        <v>5</v>
      </c>
      <c r="F85" s="163" t="s">
        <v>6</v>
      </c>
      <c r="G85" s="163" t="s">
        <v>7</v>
      </c>
      <c r="H85" s="163" t="s">
        <v>2</v>
      </c>
      <c r="I85" s="163"/>
      <c r="J85" s="163" t="s">
        <v>3</v>
      </c>
      <c r="K85" s="163" t="s">
        <v>4</v>
      </c>
      <c r="L85" s="163" t="s">
        <v>4</v>
      </c>
      <c r="M85" s="163" t="s">
        <v>5</v>
      </c>
      <c r="N85" s="163" t="s">
        <v>6</v>
      </c>
      <c r="O85" s="163" t="s">
        <v>7</v>
      </c>
      <c r="P85" s="163" t="s">
        <v>2</v>
      </c>
      <c r="Q85" s="163"/>
      <c r="R85" s="163" t="s">
        <v>3</v>
      </c>
      <c r="S85" s="163" t="s">
        <v>4</v>
      </c>
      <c r="T85" s="163" t="s">
        <v>4</v>
      </c>
      <c r="U85" s="163" t="s">
        <v>5</v>
      </c>
      <c r="V85" s="163" t="s">
        <v>6</v>
      </c>
      <c r="W85" s="163" t="s">
        <v>7</v>
      </c>
      <c r="X85" s="163" t="s">
        <v>2</v>
      </c>
      <c r="Y85" s="163"/>
      <c r="Z85" s="163" t="s">
        <v>3</v>
      </c>
      <c r="AA85" s="163" t="s">
        <v>4</v>
      </c>
      <c r="AB85" s="163" t="s">
        <v>4</v>
      </c>
      <c r="AC85" s="163" t="s">
        <v>5</v>
      </c>
      <c r="AD85" s="163" t="s">
        <v>6</v>
      </c>
      <c r="AE85" s="163" t="s">
        <v>7</v>
      </c>
      <c r="AF85" s="163" t="s">
        <v>2</v>
      </c>
      <c r="AG85" s="163"/>
      <c r="AH85" s="163" t="s">
        <v>3</v>
      </c>
      <c r="AI85" s="163" t="s">
        <v>4</v>
      </c>
      <c r="AJ85" s="163" t="s">
        <v>4</v>
      </c>
      <c r="AK85" s="163" t="s">
        <v>5</v>
      </c>
      <c r="AL85" s="163" t="s">
        <v>6</v>
      </c>
      <c r="AM85" s="163" t="s">
        <v>7</v>
      </c>
      <c r="AN85" s="163" t="s">
        <v>2</v>
      </c>
      <c r="AO85" s="298" t="s">
        <v>3</v>
      </c>
      <c r="AP85" s="47"/>
    </row>
    <row r="86" spans="1:43" ht="15.75" thickBot="1">
      <c r="A86" s="164" t="s">
        <v>8</v>
      </c>
      <c r="B86" s="168"/>
      <c r="C86" s="168"/>
      <c r="D86" s="168"/>
      <c r="E86" s="168"/>
      <c r="F86" s="169"/>
      <c r="G86" s="169">
        <v>44835</v>
      </c>
      <c r="H86" s="169">
        <v>44836</v>
      </c>
      <c r="I86" s="166" t="s">
        <v>9</v>
      </c>
      <c r="J86" s="169">
        <v>44837</v>
      </c>
      <c r="K86" s="169">
        <v>44838</v>
      </c>
      <c r="L86" s="169">
        <v>44839</v>
      </c>
      <c r="M86" s="169">
        <v>44840</v>
      </c>
      <c r="N86" s="169">
        <v>44841</v>
      </c>
      <c r="O86" s="169">
        <v>44842</v>
      </c>
      <c r="P86" s="169">
        <v>44843</v>
      </c>
      <c r="Q86" s="166" t="s">
        <v>9</v>
      </c>
      <c r="R86" s="169">
        <v>44844</v>
      </c>
      <c r="S86" s="169">
        <v>44845</v>
      </c>
      <c r="T86" s="169">
        <v>44846</v>
      </c>
      <c r="U86" s="169">
        <v>44847</v>
      </c>
      <c r="V86" s="169">
        <v>44848</v>
      </c>
      <c r="W86" s="169">
        <v>44849</v>
      </c>
      <c r="X86" s="169">
        <v>44850</v>
      </c>
      <c r="Y86" s="166" t="s">
        <v>9</v>
      </c>
      <c r="Z86" s="169">
        <v>44851</v>
      </c>
      <c r="AA86" s="169">
        <v>44852</v>
      </c>
      <c r="AB86" s="169">
        <v>44853</v>
      </c>
      <c r="AC86" s="169">
        <v>44854</v>
      </c>
      <c r="AD86" s="169">
        <v>44855</v>
      </c>
      <c r="AE86" s="169">
        <v>44856</v>
      </c>
      <c r="AF86" s="169">
        <v>44857</v>
      </c>
      <c r="AG86" s="166" t="s">
        <v>9</v>
      </c>
      <c r="AH86" s="169">
        <v>44858</v>
      </c>
      <c r="AI86" s="169">
        <v>44859</v>
      </c>
      <c r="AJ86" s="169">
        <v>44860</v>
      </c>
      <c r="AK86" s="169">
        <v>44861</v>
      </c>
      <c r="AL86" s="169">
        <v>44862</v>
      </c>
      <c r="AM86" s="169">
        <v>44863</v>
      </c>
      <c r="AN86" s="169">
        <v>44864</v>
      </c>
      <c r="AO86" s="169">
        <v>44865</v>
      </c>
      <c r="AP86" s="166" t="s">
        <v>9</v>
      </c>
      <c r="AQ86" s="191" t="s">
        <v>10</v>
      </c>
    </row>
    <row r="87" spans="1:43">
      <c r="A87" s="170" t="s">
        <v>11</v>
      </c>
      <c r="B87" s="172"/>
      <c r="C87" s="173"/>
      <c r="D87" s="173"/>
      <c r="E87" s="173"/>
      <c r="F87" s="173"/>
      <c r="G87" s="173"/>
      <c r="H87" s="173"/>
      <c r="I87" s="185">
        <f>SUM(B87:H87)</f>
        <v>0</v>
      </c>
      <c r="J87" s="173"/>
      <c r="K87" s="173"/>
      <c r="L87" s="173"/>
      <c r="M87" s="173"/>
      <c r="N87" s="173"/>
      <c r="O87" s="173"/>
      <c r="P87" s="173"/>
      <c r="Q87" s="185">
        <f>SUM(J87:P87)</f>
        <v>0</v>
      </c>
      <c r="R87" s="173"/>
      <c r="S87" s="173"/>
      <c r="T87" s="173"/>
      <c r="U87" s="173"/>
      <c r="V87" s="173"/>
      <c r="W87" s="173"/>
      <c r="X87" s="173"/>
      <c r="Y87" s="185">
        <f>SUM(R87:X87)</f>
        <v>0</v>
      </c>
      <c r="Z87" s="173"/>
      <c r="AA87" s="173"/>
      <c r="AB87" s="173"/>
      <c r="AC87" s="173"/>
      <c r="AD87" s="173"/>
      <c r="AE87" s="173"/>
      <c r="AF87" s="173"/>
      <c r="AG87" s="185">
        <f>SUM(Z87:AF87)</f>
        <v>0</v>
      </c>
      <c r="AH87" s="173"/>
      <c r="AI87" s="173"/>
      <c r="AJ87" s="173"/>
      <c r="AK87" s="173"/>
      <c r="AL87" s="173"/>
      <c r="AM87" s="173"/>
      <c r="AN87" s="173"/>
      <c r="AO87" s="173"/>
      <c r="AP87" s="185">
        <f>AH87+AI87+AJ87+AK87+AL87+AM87+AN87</f>
        <v>0</v>
      </c>
      <c r="AQ87" s="192" t="e">
        <f>SUM(Y87,Q87,I87,#REF!,AG87,AP87)</f>
        <v>#REF!</v>
      </c>
    </row>
    <row r="88" spans="1:43">
      <c r="A88" s="170" t="s">
        <v>12</v>
      </c>
      <c r="B88" s="172"/>
      <c r="C88" s="173"/>
      <c r="D88" s="173"/>
      <c r="E88" s="173"/>
      <c r="F88" s="173"/>
      <c r="G88" s="173"/>
      <c r="H88" s="173"/>
      <c r="I88" s="185">
        <f>SUM(B88:H88)</f>
        <v>0</v>
      </c>
      <c r="J88" s="173"/>
      <c r="K88" s="173"/>
      <c r="L88" s="173"/>
      <c r="M88" s="173"/>
      <c r="N88" s="173"/>
      <c r="O88" s="173"/>
      <c r="P88" s="173"/>
      <c r="Q88" s="185">
        <f>SUM(J88:P88)</f>
        <v>0</v>
      </c>
      <c r="R88" s="173"/>
      <c r="S88" s="173"/>
      <c r="T88" s="173"/>
      <c r="U88" s="173"/>
      <c r="V88" s="173"/>
      <c r="W88" s="173"/>
      <c r="X88" s="173"/>
      <c r="Y88" s="185">
        <f>SUM(R88:X88)</f>
        <v>0</v>
      </c>
      <c r="Z88" s="173"/>
      <c r="AA88" s="173"/>
      <c r="AB88" s="173"/>
      <c r="AC88" s="173"/>
      <c r="AD88" s="173"/>
      <c r="AE88" s="173"/>
      <c r="AF88" s="173"/>
      <c r="AG88" s="185">
        <f>SUM(Z88:AF88)</f>
        <v>0</v>
      </c>
      <c r="AH88" s="173"/>
      <c r="AI88" s="173"/>
      <c r="AJ88" s="173"/>
      <c r="AK88" s="173"/>
      <c r="AL88" s="173"/>
      <c r="AM88" s="173"/>
      <c r="AN88" s="173"/>
      <c r="AO88" s="173"/>
      <c r="AP88" s="171">
        <f>SUM(AN88)</f>
        <v>0</v>
      </c>
      <c r="AQ88" s="192" t="e">
        <f>SUM(Y88,Q88,I88,#REF!,AG88,AP88)</f>
        <v>#REF!</v>
      </c>
    </row>
    <row r="89" spans="1:43" ht="15.75" thickBot="1">
      <c r="A89" s="174" t="s">
        <v>13</v>
      </c>
      <c r="B89" s="173"/>
      <c r="C89" s="173"/>
      <c r="D89" s="173"/>
      <c r="E89" s="173"/>
      <c r="F89" s="173">
        <f>'P2'!B77</f>
        <v>0</v>
      </c>
      <c r="G89" s="173">
        <f>'P2'!C77</f>
        <v>0</v>
      </c>
      <c r="H89" s="173">
        <f>'P2'!D77</f>
        <v>0</v>
      </c>
      <c r="I89" s="185">
        <f>SUM(B89:H89)</f>
        <v>0</v>
      </c>
      <c r="J89" s="173">
        <f>'P2'!E77</f>
        <v>0</v>
      </c>
      <c r="K89" s="173">
        <f>'P2'!F77</f>
        <v>0</v>
      </c>
      <c r="L89" s="173">
        <f>'P2'!G77</f>
        <v>0</v>
      </c>
      <c r="M89" s="173">
        <f>'P2'!H77</f>
        <v>0</v>
      </c>
      <c r="N89" s="173">
        <f>'P2'!I77</f>
        <v>0</v>
      </c>
      <c r="O89" s="173">
        <f>'P2'!J77</f>
        <v>0</v>
      </c>
      <c r="P89" s="173">
        <f>'P2'!K77</f>
        <v>0</v>
      </c>
      <c r="Q89" s="185">
        <f>SUM(J89:P89)</f>
        <v>0</v>
      </c>
      <c r="R89" s="173">
        <f>'P2'!L77</f>
        <v>0</v>
      </c>
      <c r="S89" s="173">
        <f>'P2'!M77</f>
        <v>0</v>
      </c>
      <c r="T89" s="173">
        <f>'P2'!N77</f>
        <v>0</v>
      </c>
      <c r="U89" s="173">
        <f>'P2'!O77</f>
        <v>0</v>
      </c>
      <c r="V89" s="173">
        <f>'P2'!P77</f>
        <v>0</v>
      </c>
      <c r="W89" s="173">
        <f>'P2'!Q77</f>
        <v>0</v>
      </c>
      <c r="X89" s="173">
        <f>'P2'!R77</f>
        <v>0</v>
      </c>
      <c r="Y89" s="185">
        <f>SUM(R89:X89)</f>
        <v>0</v>
      </c>
      <c r="Z89" s="173">
        <f>'P2'!S77</f>
        <v>0</v>
      </c>
      <c r="AA89" s="173">
        <f>'P2'!T77</f>
        <v>0</v>
      </c>
      <c r="AB89" s="173">
        <f>'P2'!U77</f>
        <v>0</v>
      </c>
      <c r="AC89" s="173">
        <f>'P2'!V77</f>
        <v>0</v>
      </c>
      <c r="AD89" s="173">
        <f>'P2'!W77</f>
        <v>0</v>
      </c>
      <c r="AE89" s="173">
        <f>'P2'!X77</f>
        <v>0</v>
      </c>
      <c r="AF89" s="173">
        <f>'P2'!Y77</f>
        <v>0</v>
      </c>
      <c r="AG89" s="185">
        <f>SUM(Z89:AF89)</f>
        <v>0</v>
      </c>
      <c r="AH89" s="173">
        <f>'P2'!Z77</f>
        <v>0</v>
      </c>
      <c r="AI89" s="173">
        <f>'P2'!AA77</f>
        <v>0</v>
      </c>
      <c r="AJ89" s="173">
        <f>'P2'!AB77</f>
        <v>0</v>
      </c>
      <c r="AK89" s="173">
        <f>'P2'!AC77</f>
        <v>0</v>
      </c>
      <c r="AL89" s="173">
        <f>'P2'!AD77</f>
        <v>0</v>
      </c>
      <c r="AM89" s="173">
        <f>'P2'!AE77</f>
        <v>0</v>
      </c>
      <c r="AN89" s="173">
        <f>'P2'!AF77</f>
        <v>0</v>
      </c>
      <c r="AO89" s="173">
        <f>'P2'!AG77</f>
        <v>0</v>
      </c>
      <c r="AP89" s="185">
        <f>AH89+AI89+AJ89+AK89+AL89+AM89+AN89</f>
        <v>0</v>
      </c>
      <c r="AQ89" s="192" t="e">
        <f>SUM(Y89,Q89,I89,#REF!,AG89,AP89)</f>
        <v>#REF!</v>
      </c>
    </row>
    <row r="90" spans="1:43" ht="15.75" thickBot="1">
      <c r="A90" s="164" t="s">
        <v>15</v>
      </c>
      <c r="B90" s="177" t="e">
        <f t="shared" ref="B90:I90" si="88">B89/B87</f>
        <v>#DIV/0!</v>
      </c>
      <c r="C90" s="177" t="e">
        <f t="shared" si="88"/>
        <v>#DIV/0!</v>
      </c>
      <c r="D90" s="177" t="e">
        <f t="shared" si="88"/>
        <v>#DIV/0!</v>
      </c>
      <c r="E90" s="177" t="e">
        <f t="shared" si="88"/>
        <v>#DIV/0!</v>
      </c>
      <c r="F90" s="177" t="e">
        <f t="shared" si="88"/>
        <v>#DIV/0!</v>
      </c>
      <c r="G90" s="177" t="e">
        <f t="shared" si="88"/>
        <v>#DIV/0!</v>
      </c>
      <c r="H90" s="177" t="e">
        <f t="shared" si="88"/>
        <v>#DIV/0!</v>
      </c>
      <c r="I90" s="176" t="e">
        <f t="shared" si="88"/>
        <v>#DIV/0!</v>
      </c>
      <c r="J90" s="177" t="e">
        <f t="shared" ref="J90:R90" si="89">J89/J87</f>
        <v>#DIV/0!</v>
      </c>
      <c r="K90" s="177" t="e">
        <f t="shared" si="89"/>
        <v>#DIV/0!</v>
      </c>
      <c r="L90" s="177" t="e">
        <f t="shared" si="89"/>
        <v>#DIV/0!</v>
      </c>
      <c r="M90" s="177" t="e">
        <f t="shared" si="89"/>
        <v>#DIV/0!</v>
      </c>
      <c r="N90" s="177" t="e">
        <f t="shared" si="89"/>
        <v>#DIV/0!</v>
      </c>
      <c r="O90" s="177" t="e">
        <f t="shared" si="89"/>
        <v>#DIV/0!</v>
      </c>
      <c r="P90" s="177" t="e">
        <f t="shared" si="89"/>
        <v>#DIV/0!</v>
      </c>
      <c r="Q90" s="176" t="e">
        <f t="shared" si="89"/>
        <v>#DIV/0!</v>
      </c>
      <c r="R90" s="177" t="e">
        <f t="shared" si="89"/>
        <v>#DIV/0!</v>
      </c>
      <c r="S90" s="177" t="e">
        <f t="shared" ref="S90:Y90" si="90">S89/S87</f>
        <v>#DIV/0!</v>
      </c>
      <c r="T90" s="177" t="e">
        <f t="shared" si="90"/>
        <v>#DIV/0!</v>
      </c>
      <c r="U90" s="177" t="e">
        <f t="shared" si="90"/>
        <v>#DIV/0!</v>
      </c>
      <c r="V90" s="177" t="e">
        <f t="shared" si="90"/>
        <v>#DIV/0!</v>
      </c>
      <c r="W90" s="177" t="e">
        <f t="shared" si="90"/>
        <v>#DIV/0!</v>
      </c>
      <c r="X90" s="177" t="e">
        <f t="shared" si="90"/>
        <v>#DIV/0!</v>
      </c>
      <c r="Y90" s="176" t="e">
        <f t="shared" si="90"/>
        <v>#DIV/0!</v>
      </c>
      <c r="Z90" s="177" t="e">
        <f t="shared" ref="Z90:AG90" si="91">Z89/Z87</f>
        <v>#DIV/0!</v>
      </c>
      <c r="AA90" s="177" t="e">
        <f t="shared" si="91"/>
        <v>#DIV/0!</v>
      </c>
      <c r="AB90" s="177" t="e">
        <f t="shared" si="91"/>
        <v>#DIV/0!</v>
      </c>
      <c r="AC90" s="177" t="e">
        <f t="shared" si="91"/>
        <v>#DIV/0!</v>
      </c>
      <c r="AD90" s="177" t="e">
        <f t="shared" si="91"/>
        <v>#DIV/0!</v>
      </c>
      <c r="AE90" s="177" t="e">
        <f t="shared" si="91"/>
        <v>#DIV/0!</v>
      </c>
      <c r="AF90" s="177" t="e">
        <f t="shared" si="91"/>
        <v>#DIV/0!</v>
      </c>
      <c r="AG90" s="176" t="e">
        <f t="shared" si="91"/>
        <v>#DIV/0!</v>
      </c>
      <c r="AH90" s="177" t="e">
        <f t="shared" ref="AH90:AN90" si="92">AH89/AH87</f>
        <v>#DIV/0!</v>
      </c>
      <c r="AI90" s="177" t="e">
        <f t="shared" si="92"/>
        <v>#DIV/0!</v>
      </c>
      <c r="AJ90" s="177" t="e">
        <f t="shared" si="92"/>
        <v>#DIV/0!</v>
      </c>
      <c r="AK90" s="177" t="e">
        <f t="shared" si="92"/>
        <v>#DIV/0!</v>
      </c>
      <c r="AL90" s="177" t="e">
        <f t="shared" si="92"/>
        <v>#DIV/0!</v>
      </c>
      <c r="AM90" s="177" t="e">
        <f t="shared" si="92"/>
        <v>#DIV/0!</v>
      </c>
      <c r="AN90" s="177" t="e">
        <f t="shared" si="92"/>
        <v>#DIV/0!</v>
      </c>
      <c r="AO90" s="177" t="e">
        <f t="shared" ref="AO90" si="93">AO89/AO87</f>
        <v>#DIV/0!</v>
      </c>
      <c r="AP90" s="176" t="e">
        <f>AP89/AP87</f>
        <v>#DIV/0!</v>
      </c>
      <c r="AQ90" s="193" t="e">
        <f>AQ89/AQ87</f>
        <v>#REF!</v>
      </c>
    </row>
    <row r="91" spans="1:43">
      <c r="B91" s="178"/>
      <c r="C91" s="178"/>
      <c r="D91" s="178"/>
      <c r="E91" s="178"/>
      <c r="F91" s="178"/>
      <c r="G91" s="186"/>
      <c r="H91" s="178"/>
      <c r="I91" s="151"/>
      <c r="J91" s="178"/>
      <c r="K91" s="178"/>
      <c r="L91" s="178"/>
      <c r="M91" s="178"/>
      <c r="N91" s="178"/>
      <c r="O91" s="178"/>
      <c r="P91" s="188"/>
      <c r="Q91" s="151"/>
      <c r="R91" s="189"/>
      <c r="S91" s="189"/>
      <c r="T91" s="189"/>
      <c r="U91" s="189"/>
      <c r="V91" s="189"/>
      <c r="W91" s="189"/>
      <c r="X91" s="189"/>
      <c r="Y91" s="151"/>
      <c r="Z91" s="188"/>
      <c r="AA91" s="178"/>
      <c r="AB91" s="178"/>
      <c r="AC91" s="178"/>
      <c r="AD91" s="178"/>
      <c r="AE91" s="178"/>
      <c r="AF91" s="178"/>
      <c r="AG91" s="151"/>
      <c r="AH91" s="178"/>
      <c r="AI91" s="188"/>
      <c r="AJ91" s="189"/>
      <c r="AK91" s="189"/>
      <c r="AL91" s="189"/>
      <c r="AM91" s="189"/>
      <c r="AN91" s="189"/>
      <c r="AP91" s="151"/>
      <c r="AQ91" s="47"/>
    </row>
    <row r="92" spans="1:43" s="161" customFormat="1">
      <c r="A92" s="181" t="s">
        <v>17</v>
      </c>
      <c r="B92" s="180"/>
      <c r="C92" s="180"/>
      <c r="D92" s="180"/>
      <c r="E92" s="180"/>
      <c r="F92" s="180"/>
      <c r="G92" s="187"/>
      <c r="H92" s="180"/>
      <c r="I92" s="179"/>
      <c r="J92" s="180"/>
      <c r="K92" s="180"/>
      <c r="L92" s="180"/>
      <c r="M92" s="180"/>
      <c r="N92" s="180"/>
      <c r="O92" s="180"/>
      <c r="P92" s="187"/>
      <c r="Q92" s="179"/>
      <c r="R92" s="180"/>
      <c r="S92" s="180"/>
      <c r="T92" s="180"/>
      <c r="U92" s="180"/>
      <c r="V92" s="180"/>
      <c r="W92" s="180"/>
      <c r="X92" s="180"/>
      <c r="Y92" s="179"/>
      <c r="Z92" s="187"/>
      <c r="AA92" s="180"/>
      <c r="AB92" s="180"/>
      <c r="AC92" s="180"/>
      <c r="AD92" s="180"/>
      <c r="AE92" s="180"/>
      <c r="AF92" s="180"/>
      <c r="AG92" s="179"/>
      <c r="AH92" s="180"/>
      <c r="AI92" s="187"/>
      <c r="AJ92" s="180"/>
      <c r="AK92" s="180"/>
      <c r="AL92" s="180"/>
      <c r="AM92" s="180"/>
      <c r="AN92" s="180"/>
      <c r="AP92" s="180">
        <f>SUM(F92:AN92)</f>
        <v>0</v>
      </c>
      <c r="AQ92" s="195" t="s">
        <v>17</v>
      </c>
    </row>
    <row r="93" spans="1:43" s="161" customFormat="1">
      <c r="A93" s="179" t="s">
        <v>16</v>
      </c>
      <c r="B93" s="160"/>
      <c r="C93" s="182"/>
      <c r="D93" s="160"/>
      <c r="E93" s="160"/>
      <c r="F93" s="182"/>
      <c r="G93" s="182"/>
      <c r="H93" s="182"/>
      <c r="I93" s="181"/>
      <c r="J93" s="182"/>
      <c r="K93" s="182"/>
      <c r="L93" s="160"/>
      <c r="M93" s="160"/>
      <c r="N93" s="182"/>
      <c r="O93" s="182"/>
      <c r="P93" s="160"/>
      <c r="Q93" s="181"/>
      <c r="R93" s="160"/>
      <c r="S93" s="160"/>
      <c r="T93" s="160"/>
      <c r="U93" s="160"/>
      <c r="V93" s="160"/>
      <c r="W93" s="160"/>
      <c r="X93" s="160"/>
      <c r="Y93" s="181"/>
      <c r="Z93" s="160"/>
      <c r="AA93" s="160"/>
      <c r="AB93" s="160"/>
      <c r="AC93" s="160"/>
      <c r="AD93" s="160"/>
      <c r="AE93" s="160"/>
      <c r="AF93" s="160"/>
      <c r="AG93" s="181"/>
      <c r="AH93" s="160"/>
      <c r="AI93" s="160"/>
      <c r="AJ93" s="160"/>
      <c r="AK93" s="160"/>
      <c r="AL93" s="190"/>
      <c r="AM93" s="160"/>
      <c r="AN93" s="160"/>
      <c r="AP93" s="180">
        <f>SUM(AH93:AN93,Z93:AF93,R93:X93,J93:P93,E93:H93)</f>
        <v>0</v>
      </c>
      <c r="AQ93" s="194" t="s">
        <v>16</v>
      </c>
    </row>
    <row r="94" spans="1:43" ht="15.75" thickBot="1">
      <c r="A94" s="151" t="s">
        <v>28</v>
      </c>
      <c r="B94" s="163" t="s">
        <v>3</v>
      </c>
      <c r="C94" s="163" t="s">
        <v>4</v>
      </c>
      <c r="D94" s="163" t="s">
        <v>4</v>
      </c>
      <c r="E94" s="163" t="s">
        <v>5</v>
      </c>
      <c r="F94" s="163" t="s">
        <v>6</v>
      </c>
      <c r="G94" s="163" t="s">
        <v>7</v>
      </c>
      <c r="H94" s="163" t="s">
        <v>2</v>
      </c>
      <c r="I94" s="163"/>
      <c r="J94" s="163" t="s">
        <v>3</v>
      </c>
      <c r="K94" s="163" t="s">
        <v>4</v>
      </c>
      <c r="L94" s="163" t="s">
        <v>4</v>
      </c>
      <c r="M94" s="163" t="s">
        <v>5</v>
      </c>
      <c r="N94" s="163" t="s">
        <v>6</v>
      </c>
      <c r="O94" s="163" t="s">
        <v>7</v>
      </c>
      <c r="P94" s="163" t="s">
        <v>2</v>
      </c>
      <c r="Q94" s="163"/>
      <c r="R94" s="163" t="s">
        <v>3</v>
      </c>
      <c r="S94" s="163" t="s">
        <v>4</v>
      </c>
      <c r="T94" s="163" t="s">
        <v>4</v>
      </c>
      <c r="U94" s="163" t="s">
        <v>5</v>
      </c>
      <c r="V94" s="163" t="s">
        <v>6</v>
      </c>
      <c r="W94" s="163" t="s">
        <v>7</v>
      </c>
      <c r="X94" s="163" t="s">
        <v>2</v>
      </c>
      <c r="Y94" s="163"/>
      <c r="Z94" s="163" t="s">
        <v>3</v>
      </c>
      <c r="AA94" s="163" t="s">
        <v>4</v>
      </c>
      <c r="AB94" s="163" t="s">
        <v>4</v>
      </c>
      <c r="AC94" s="163" t="s">
        <v>5</v>
      </c>
      <c r="AD94" s="163" t="s">
        <v>6</v>
      </c>
      <c r="AE94" s="163" t="s">
        <v>7</v>
      </c>
      <c r="AF94" s="163" t="s">
        <v>2</v>
      </c>
      <c r="AG94" s="163"/>
      <c r="AH94" s="163" t="s">
        <v>3</v>
      </c>
      <c r="AI94" s="163" t="s">
        <v>4</v>
      </c>
      <c r="AJ94" s="163" t="s">
        <v>4</v>
      </c>
      <c r="AK94" s="163" t="s">
        <v>5</v>
      </c>
      <c r="AL94" s="163" t="s">
        <v>6</v>
      </c>
      <c r="AM94" s="163" t="s">
        <v>7</v>
      </c>
      <c r="AN94" s="163" t="s">
        <v>2</v>
      </c>
      <c r="AO94" s="151"/>
      <c r="AP94" s="161"/>
    </row>
    <row r="95" spans="1:43" ht="15.75" thickBot="1">
      <c r="A95" s="164" t="s">
        <v>8</v>
      </c>
      <c r="B95" s="169"/>
      <c r="C95" s="169">
        <v>44866</v>
      </c>
      <c r="D95" s="169">
        <v>44867</v>
      </c>
      <c r="E95" s="169">
        <v>44868</v>
      </c>
      <c r="F95" s="169">
        <v>44869</v>
      </c>
      <c r="G95" s="169">
        <v>44870</v>
      </c>
      <c r="H95" s="169">
        <v>44871</v>
      </c>
      <c r="I95" s="166" t="s">
        <v>9</v>
      </c>
      <c r="J95" s="169">
        <v>44872</v>
      </c>
      <c r="K95" s="169">
        <v>44873</v>
      </c>
      <c r="L95" s="169">
        <v>44874</v>
      </c>
      <c r="M95" s="169">
        <v>44875</v>
      </c>
      <c r="N95" s="169">
        <v>44876</v>
      </c>
      <c r="O95" s="169">
        <v>44877</v>
      </c>
      <c r="P95" s="169">
        <v>44878</v>
      </c>
      <c r="Q95" s="166" t="s">
        <v>9</v>
      </c>
      <c r="R95" s="169">
        <v>44879</v>
      </c>
      <c r="S95" s="169">
        <v>44880</v>
      </c>
      <c r="T95" s="169">
        <v>44881</v>
      </c>
      <c r="U95" s="169">
        <v>44882</v>
      </c>
      <c r="V95" s="169">
        <v>44883</v>
      </c>
      <c r="W95" s="169">
        <v>44884</v>
      </c>
      <c r="X95" s="169">
        <v>44885</v>
      </c>
      <c r="Y95" s="166" t="s">
        <v>9</v>
      </c>
      <c r="Z95" s="169">
        <v>44886</v>
      </c>
      <c r="AA95" s="169">
        <v>44887</v>
      </c>
      <c r="AB95" s="169">
        <v>44888</v>
      </c>
      <c r="AC95" s="169">
        <v>44889</v>
      </c>
      <c r="AD95" s="169">
        <v>44890</v>
      </c>
      <c r="AE95" s="169">
        <v>44891</v>
      </c>
      <c r="AF95" s="169">
        <v>44892</v>
      </c>
      <c r="AG95" s="166" t="s">
        <v>9</v>
      </c>
      <c r="AH95" s="169">
        <v>44893</v>
      </c>
      <c r="AI95" s="169">
        <v>44894</v>
      </c>
      <c r="AJ95" s="169">
        <v>44895</v>
      </c>
      <c r="AK95" s="169"/>
      <c r="AL95" s="169"/>
      <c r="AM95" s="169"/>
      <c r="AN95" s="169"/>
      <c r="AO95" s="166" t="s">
        <v>9</v>
      </c>
      <c r="AP95" s="191" t="s">
        <v>10</v>
      </c>
    </row>
    <row r="96" spans="1:43">
      <c r="A96" s="170" t="s">
        <v>11</v>
      </c>
      <c r="B96" s="172"/>
      <c r="C96" s="173"/>
      <c r="D96" s="173"/>
      <c r="E96" s="173"/>
      <c r="F96" s="173"/>
      <c r="G96" s="173"/>
      <c r="H96" s="173"/>
      <c r="I96" s="185">
        <f>SUM(B96:H96)</f>
        <v>0</v>
      </c>
      <c r="J96" s="173"/>
      <c r="K96" s="173"/>
      <c r="L96" s="173"/>
      <c r="M96" s="173"/>
      <c r="N96" s="173"/>
      <c r="O96" s="173">
        <v>0</v>
      </c>
      <c r="P96" s="173">
        <v>0</v>
      </c>
      <c r="Q96" s="185">
        <f>SUM(J96:P96)</f>
        <v>0</v>
      </c>
      <c r="R96" s="173"/>
      <c r="S96" s="173"/>
      <c r="T96" s="173"/>
      <c r="U96" s="173"/>
      <c r="V96" s="173"/>
      <c r="W96" s="173"/>
      <c r="X96" s="173"/>
      <c r="Y96" s="185">
        <f>SUM(R96:X96)</f>
        <v>0</v>
      </c>
      <c r="Z96" s="173"/>
      <c r="AA96" s="173"/>
      <c r="AB96" s="173"/>
      <c r="AC96" s="173"/>
      <c r="AD96" s="173"/>
      <c r="AE96" s="173">
        <v>0</v>
      </c>
      <c r="AF96" s="173">
        <v>0</v>
      </c>
      <c r="AG96" s="185">
        <f>SUM(Z96:AF96)</f>
        <v>0</v>
      </c>
      <c r="AH96" s="173"/>
      <c r="AI96" s="173"/>
      <c r="AJ96" s="173"/>
      <c r="AK96" s="173"/>
      <c r="AL96" s="173"/>
      <c r="AM96" s="173"/>
      <c r="AN96" s="173"/>
      <c r="AO96" s="185">
        <f>SUM(AH96:AN96)</f>
        <v>0</v>
      </c>
      <c r="AP96" s="192" t="e">
        <f>SUM(Y96,Q96,I96,#REF!,AG96,AO96)</f>
        <v>#REF!</v>
      </c>
    </row>
    <row r="97" spans="1:42">
      <c r="A97" s="170" t="s">
        <v>12</v>
      </c>
      <c r="B97" s="172"/>
      <c r="C97" s="173"/>
      <c r="D97" s="173"/>
      <c r="E97" s="173"/>
      <c r="F97" s="173"/>
      <c r="G97" s="173"/>
      <c r="H97" s="173"/>
      <c r="I97" s="185">
        <f>SUM(B97:H97)</f>
        <v>0</v>
      </c>
      <c r="J97" s="173"/>
      <c r="K97" s="173"/>
      <c r="L97" s="173"/>
      <c r="M97" s="173"/>
      <c r="N97" s="173"/>
      <c r="O97" s="173"/>
      <c r="P97" s="173"/>
      <c r="Q97" s="185">
        <f>SUM(J97:P97)</f>
        <v>0</v>
      </c>
      <c r="R97" s="173"/>
      <c r="S97" s="173"/>
      <c r="T97" s="173"/>
      <c r="U97" s="173"/>
      <c r="V97" s="173"/>
      <c r="W97" s="173"/>
      <c r="X97" s="173"/>
      <c r="Y97" s="185">
        <f>SUM(R97:X97)</f>
        <v>0</v>
      </c>
      <c r="Z97" s="173"/>
      <c r="AA97" s="173"/>
      <c r="AB97" s="173"/>
      <c r="AC97" s="173"/>
      <c r="AD97" s="173"/>
      <c r="AE97" s="173"/>
      <c r="AF97" s="173"/>
      <c r="AG97" s="185">
        <f>SUM(Z97:AF97)</f>
        <v>0</v>
      </c>
      <c r="AH97" s="173"/>
      <c r="AI97" s="173"/>
      <c r="AJ97" s="173"/>
      <c r="AK97" s="173"/>
      <c r="AL97" s="173"/>
      <c r="AM97" s="173"/>
      <c r="AN97" s="173"/>
      <c r="AO97" s="185">
        <f>SUM(AH97:AN97)</f>
        <v>0</v>
      </c>
      <c r="AP97" s="192" t="e">
        <f>SUM(Y97,Q97,I97,#REF!,AG97,AO97)</f>
        <v>#REF!</v>
      </c>
    </row>
    <row r="98" spans="1:42" ht="15.75" thickBot="1">
      <c r="A98" s="174" t="s">
        <v>13</v>
      </c>
      <c r="B98" s="173">
        <f>'P2'!B86</f>
        <v>0</v>
      </c>
      <c r="C98" s="173">
        <f>'P2'!C86</f>
        <v>0</v>
      </c>
      <c r="D98" s="173">
        <f>'P2'!D86</f>
        <v>0</v>
      </c>
      <c r="E98" s="173">
        <f>'P2'!E86</f>
        <v>0</v>
      </c>
      <c r="F98" s="173">
        <f>'P2'!F86</f>
        <v>0</v>
      </c>
      <c r="G98" s="173">
        <f>'P2'!G86</f>
        <v>0</v>
      </c>
      <c r="H98" s="173">
        <f>'P2'!H86</f>
        <v>0</v>
      </c>
      <c r="I98" s="185">
        <f>SUM(B98:H98)</f>
        <v>0</v>
      </c>
      <c r="J98" s="173">
        <f>'P2'!I86</f>
        <v>0</v>
      </c>
      <c r="K98" s="173">
        <f>'P2'!J86</f>
        <v>0</v>
      </c>
      <c r="L98" s="173">
        <f>'P2'!K86</f>
        <v>0</v>
      </c>
      <c r="M98" s="173">
        <v>0</v>
      </c>
      <c r="N98" s="173">
        <f>'P2'!M86</f>
        <v>0</v>
      </c>
      <c r="O98" s="173">
        <f>'P2'!N86</f>
        <v>0</v>
      </c>
      <c r="P98" s="173">
        <f>'P2'!O86</f>
        <v>0</v>
      </c>
      <c r="Q98" s="185">
        <f>SUM(J98:P98)</f>
        <v>0</v>
      </c>
      <c r="R98" s="173">
        <f>'P2'!P86</f>
        <v>0</v>
      </c>
      <c r="S98" s="173">
        <f>'P2'!Q86</f>
        <v>0</v>
      </c>
      <c r="T98" s="173">
        <f>'P2'!R86</f>
        <v>0</v>
      </c>
      <c r="U98" s="173">
        <f>'P2'!S86</f>
        <v>0</v>
      </c>
      <c r="V98" s="173">
        <f>'P2'!T86</f>
        <v>0</v>
      </c>
      <c r="W98" s="173">
        <f>'P2'!U86</f>
        <v>0</v>
      </c>
      <c r="X98" s="173">
        <f>'P2'!V86</f>
        <v>0</v>
      </c>
      <c r="Y98" s="185">
        <f>SUM(R98:X98)</f>
        <v>0</v>
      </c>
      <c r="Z98" s="173">
        <f>'P2'!W86</f>
        <v>0</v>
      </c>
      <c r="AA98" s="173">
        <f>'P2'!X86</f>
        <v>0</v>
      </c>
      <c r="AB98" s="173">
        <f>'P2'!Y86</f>
        <v>0</v>
      </c>
      <c r="AC98" s="173">
        <f>'P2'!Z86</f>
        <v>0</v>
      </c>
      <c r="AD98" s="173">
        <f>'P2'!AA86</f>
        <v>0</v>
      </c>
      <c r="AE98" s="173">
        <f>'P2'!AB86</f>
        <v>0</v>
      </c>
      <c r="AF98" s="173">
        <f>'P2'!AC86</f>
        <v>0</v>
      </c>
      <c r="AG98" s="185">
        <f>SUM(Z98:AF98)</f>
        <v>0</v>
      </c>
      <c r="AH98" s="173">
        <f>'P2'!AD86</f>
        <v>0</v>
      </c>
      <c r="AI98" s="173">
        <f>'P2'!AE86</f>
        <v>0</v>
      </c>
      <c r="AJ98" s="173">
        <f>'P2'!AF86</f>
        <v>0</v>
      </c>
      <c r="AK98" s="173">
        <f>'P2'!AG86</f>
        <v>0</v>
      </c>
      <c r="AL98" s="173">
        <f>'P2'!AH86</f>
        <v>0</v>
      </c>
      <c r="AM98" s="173">
        <f>'P2'!AI86</f>
        <v>0</v>
      </c>
      <c r="AN98" s="173">
        <f>'P2'!AJ86</f>
        <v>0</v>
      </c>
      <c r="AO98" s="185">
        <f>SUM(AH98:AN98)</f>
        <v>0</v>
      </c>
      <c r="AP98" s="192" t="e">
        <f>SUM(Y98,Q98,I98,#REF!,AG98,AO98)</f>
        <v>#REF!</v>
      </c>
    </row>
    <row r="99" spans="1:42" ht="15.75" thickBot="1">
      <c r="A99" s="164" t="s">
        <v>15</v>
      </c>
      <c r="B99" s="177" t="e">
        <f t="shared" ref="B99:I99" si="94">B98/B96</f>
        <v>#DIV/0!</v>
      </c>
      <c r="C99" s="177" t="e">
        <f t="shared" si="94"/>
        <v>#DIV/0!</v>
      </c>
      <c r="D99" s="177" t="e">
        <f t="shared" si="94"/>
        <v>#DIV/0!</v>
      </c>
      <c r="E99" s="177" t="e">
        <f t="shared" si="94"/>
        <v>#DIV/0!</v>
      </c>
      <c r="F99" s="177" t="e">
        <f t="shared" si="94"/>
        <v>#DIV/0!</v>
      </c>
      <c r="G99" s="177" t="e">
        <f t="shared" si="94"/>
        <v>#DIV/0!</v>
      </c>
      <c r="H99" s="177" t="e">
        <f t="shared" si="94"/>
        <v>#DIV/0!</v>
      </c>
      <c r="I99" s="176" t="e">
        <f t="shared" si="94"/>
        <v>#DIV/0!</v>
      </c>
      <c r="J99" s="177" t="e">
        <f t="shared" ref="J99:R99" si="95">J98/J96</f>
        <v>#DIV/0!</v>
      </c>
      <c r="K99" s="177" t="e">
        <f t="shared" si="95"/>
        <v>#DIV/0!</v>
      </c>
      <c r="L99" s="177" t="e">
        <f t="shared" si="95"/>
        <v>#DIV/0!</v>
      </c>
      <c r="M99" s="177" t="e">
        <f t="shared" si="95"/>
        <v>#DIV/0!</v>
      </c>
      <c r="N99" s="177" t="e">
        <f t="shared" si="95"/>
        <v>#DIV/0!</v>
      </c>
      <c r="O99" s="177" t="e">
        <f t="shared" si="95"/>
        <v>#DIV/0!</v>
      </c>
      <c r="P99" s="177" t="e">
        <f t="shared" si="95"/>
        <v>#DIV/0!</v>
      </c>
      <c r="Q99" s="176" t="e">
        <f t="shared" si="95"/>
        <v>#DIV/0!</v>
      </c>
      <c r="R99" s="177" t="e">
        <f t="shared" si="95"/>
        <v>#DIV/0!</v>
      </c>
      <c r="S99" s="177" t="e">
        <f t="shared" ref="S99:Y99" si="96">S98/S96</f>
        <v>#DIV/0!</v>
      </c>
      <c r="T99" s="177" t="e">
        <f t="shared" si="96"/>
        <v>#DIV/0!</v>
      </c>
      <c r="U99" s="177" t="e">
        <f t="shared" si="96"/>
        <v>#DIV/0!</v>
      </c>
      <c r="V99" s="177" t="e">
        <f t="shared" si="96"/>
        <v>#DIV/0!</v>
      </c>
      <c r="W99" s="177" t="e">
        <f t="shared" si="96"/>
        <v>#DIV/0!</v>
      </c>
      <c r="X99" s="177" t="e">
        <f t="shared" si="96"/>
        <v>#DIV/0!</v>
      </c>
      <c r="Y99" s="176" t="e">
        <f t="shared" si="96"/>
        <v>#DIV/0!</v>
      </c>
      <c r="Z99" s="177" t="e">
        <f t="shared" ref="Z99:AG99" si="97">Z98/Z96</f>
        <v>#DIV/0!</v>
      </c>
      <c r="AA99" s="177" t="e">
        <f t="shared" si="97"/>
        <v>#DIV/0!</v>
      </c>
      <c r="AB99" s="177" t="e">
        <f t="shared" si="97"/>
        <v>#DIV/0!</v>
      </c>
      <c r="AC99" s="177" t="e">
        <f t="shared" si="97"/>
        <v>#DIV/0!</v>
      </c>
      <c r="AD99" s="177" t="e">
        <f t="shared" si="97"/>
        <v>#DIV/0!</v>
      </c>
      <c r="AE99" s="177" t="e">
        <f t="shared" si="97"/>
        <v>#DIV/0!</v>
      </c>
      <c r="AF99" s="177" t="e">
        <f t="shared" si="97"/>
        <v>#DIV/0!</v>
      </c>
      <c r="AG99" s="176" t="e">
        <f t="shared" si="97"/>
        <v>#DIV/0!</v>
      </c>
      <c r="AH99" s="177" t="e">
        <f t="shared" ref="AH99:AP99" si="98">AH98/AH96</f>
        <v>#DIV/0!</v>
      </c>
      <c r="AI99" s="177" t="e">
        <f t="shared" si="98"/>
        <v>#DIV/0!</v>
      </c>
      <c r="AJ99" s="177" t="e">
        <f t="shared" si="98"/>
        <v>#DIV/0!</v>
      </c>
      <c r="AK99" s="177" t="e">
        <f t="shared" si="98"/>
        <v>#DIV/0!</v>
      </c>
      <c r="AL99" s="177" t="e">
        <f t="shared" si="98"/>
        <v>#DIV/0!</v>
      </c>
      <c r="AM99" s="177" t="e">
        <f t="shared" si="98"/>
        <v>#DIV/0!</v>
      </c>
      <c r="AN99" s="177" t="e">
        <f t="shared" si="98"/>
        <v>#DIV/0!</v>
      </c>
      <c r="AO99" s="176" t="e">
        <f t="shared" si="98"/>
        <v>#DIV/0!</v>
      </c>
      <c r="AP99" s="193" t="e">
        <f t="shared" si="98"/>
        <v>#REF!</v>
      </c>
    </row>
    <row r="100" spans="1:42">
      <c r="B100" s="178"/>
      <c r="C100" s="178"/>
      <c r="D100" s="178"/>
      <c r="E100" s="178"/>
      <c r="F100" s="178"/>
      <c r="G100" s="186"/>
      <c r="H100" s="178"/>
      <c r="I100" s="151"/>
      <c r="J100" s="178"/>
      <c r="K100" s="178"/>
      <c r="L100" s="178"/>
      <c r="M100" s="178"/>
      <c r="N100" s="178"/>
      <c r="O100" s="178"/>
      <c r="P100" s="188"/>
      <c r="Q100" s="151"/>
      <c r="R100" s="189"/>
      <c r="S100" s="189"/>
      <c r="T100" s="189"/>
      <c r="U100" s="189"/>
      <c r="V100" s="189"/>
      <c r="W100" s="189"/>
      <c r="X100" s="189"/>
      <c r="Y100" s="151"/>
      <c r="Z100" s="188"/>
      <c r="AA100" s="178"/>
      <c r="AB100" s="178"/>
      <c r="AC100" s="178"/>
      <c r="AD100" s="178"/>
      <c r="AE100" s="178"/>
      <c r="AF100" s="178"/>
      <c r="AG100" s="151"/>
      <c r="AH100" s="178"/>
      <c r="AI100" s="188"/>
      <c r="AJ100" s="189"/>
      <c r="AK100" s="189"/>
      <c r="AL100" s="189"/>
      <c r="AM100" s="189"/>
      <c r="AN100" s="189"/>
      <c r="AO100" s="151"/>
      <c r="AP100" s="47"/>
    </row>
    <row r="101" spans="1:42" s="161" customFormat="1">
      <c r="A101" s="181" t="s">
        <v>17</v>
      </c>
      <c r="B101" s="180"/>
      <c r="C101" s="180"/>
      <c r="D101" s="180"/>
      <c r="E101" s="180"/>
      <c r="F101" s="180"/>
      <c r="G101" s="180"/>
      <c r="H101" s="180"/>
      <c r="I101" s="179"/>
      <c r="J101" s="180"/>
      <c r="K101" s="180"/>
      <c r="L101" s="180"/>
      <c r="M101" s="180"/>
      <c r="N101" s="180"/>
      <c r="O101" s="180"/>
      <c r="P101" s="187"/>
      <c r="Q101" s="179"/>
      <c r="R101" s="180"/>
      <c r="S101" s="180"/>
      <c r="T101" s="180"/>
      <c r="U101" s="180"/>
      <c r="V101" s="180"/>
      <c r="W101" s="180"/>
      <c r="X101" s="180"/>
      <c r="Y101" s="179"/>
      <c r="Z101" s="187"/>
      <c r="AA101" s="180"/>
      <c r="AB101" s="180"/>
      <c r="AC101" s="180"/>
      <c r="AD101" s="180"/>
      <c r="AE101" s="180"/>
      <c r="AF101" s="180"/>
      <c r="AG101" s="179"/>
      <c r="AH101" s="180"/>
      <c r="AI101" s="180"/>
      <c r="AJ101" s="180"/>
      <c r="AK101" s="180"/>
      <c r="AL101" s="180"/>
      <c r="AM101" s="180"/>
      <c r="AN101" s="180">
        <f>B101+C101+D101+E101+F101+G101+J101+K101+L101+M101+N101+O101+P101+R101+S101+T101+U101+V101+W101+X101+Z101+AA101+AB101+AC101+AD101+AE101+AF101+AH101+AI101+AJ101+AK101+AL101+AM101</f>
        <v>0</v>
      </c>
      <c r="AO101" s="195" t="s">
        <v>17</v>
      </c>
      <c r="AP101" s="121"/>
    </row>
    <row r="102" spans="1:42" s="161" customFormat="1">
      <c r="A102" s="179" t="s">
        <v>16</v>
      </c>
      <c r="B102" s="160"/>
      <c r="C102" s="182"/>
      <c r="D102" s="160"/>
      <c r="E102" s="160"/>
      <c r="F102" s="182"/>
      <c r="G102" s="182"/>
      <c r="H102" s="182"/>
      <c r="I102" s="181"/>
      <c r="J102" s="182"/>
      <c r="K102" s="182"/>
      <c r="L102" s="160"/>
      <c r="M102" s="160"/>
      <c r="N102" s="182"/>
      <c r="O102" s="182"/>
      <c r="P102" s="160"/>
      <c r="Q102" s="181"/>
      <c r="R102" s="160"/>
      <c r="S102" s="160"/>
      <c r="T102" s="160"/>
      <c r="U102" s="160"/>
      <c r="V102" s="160"/>
      <c r="W102" s="160"/>
      <c r="X102" s="160"/>
      <c r="Y102" s="181"/>
      <c r="Z102" s="160"/>
      <c r="AA102" s="160"/>
      <c r="AB102" s="160"/>
      <c r="AC102" s="160"/>
      <c r="AD102" s="160"/>
      <c r="AE102" s="160"/>
      <c r="AF102" s="160"/>
      <c r="AG102" s="181"/>
      <c r="AH102" s="160"/>
      <c r="AI102" s="160"/>
      <c r="AJ102" s="160"/>
      <c r="AK102" s="160"/>
      <c r="AL102" s="190"/>
      <c r="AM102" s="160"/>
      <c r="AN102" s="160">
        <f>B102+C102+D102+E102+F102+G102+H102+J102+K102+L102+M102+N102+O102+P102+R102+S102+T102+U102+V102+W102+X102+Z102+AA102+AB102+AC102+AD102+AE102+AF102+AH102+AI102+AJ102+AK102+AL102+AM102</f>
        <v>0</v>
      </c>
      <c r="AO102" s="194" t="s">
        <v>16</v>
      </c>
      <c r="AP102" s="196"/>
    </row>
    <row r="103" spans="1:42" ht="15.75" thickBot="1">
      <c r="A103" s="151" t="s">
        <v>29</v>
      </c>
      <c r="B103" s="163" t="s">
        <v>3</v>
      </c>
      <c r="C103" s="163" t="s">
        <v>4</v>
      </c>
      <c r="D103" s="163" t="s">
        <v>4</v>
      </c>
      <c r="E103" s="163" t="s">
        <v>5</v>
      </c>
      <c r="F103" s="163" t="s">
        <v>6</v>
      </c>
      <c r="G103" s="163" t="s">
        <v>7</v>
      </c>
      <c r="H103" s="163" t="s">
        <v>2</v>
      </c>
      <c r="I103" s="163"/>
      <c r="J103" s="163" t="s">
        <v>3</v>
      </c>
      <c r="K103" s="163" t="s">
        <v>4</v>
      </c>
      <c r="L103" s="163" t="s">
        <v>4</v>
      </c>
      <c r="M103" s="163" t="s">
        <v>5</v>
      </c>
      <c r="N103" s="163" t="s">
        <v>6</v>
      </c>
      <c r="O103" s="163" t="s">
        <v>7</v>
      </c>
      <c r="P103" s="163" t="s">
        <v>2</v>
      </c>
      <c r="Q103" s="163"/>
      <c r="R103" s="163" t="s">
        <v>3</v>
      </c>
      <c r="S103" s="163" t="s">
        <v>4</v>
      </c>
      <c r="T103" s="163" t="s">
        <v>4</v>
      </c>
      <c r="U103" s="163" t="s">
        <v>5</v>
      </c>
      <c r="V103" s="163" t="s">
        <v>6</v>
      </c>
      <c r="W103" s="163" t="s">
        <v>7</v>
      </c>
      <c r="X103" s="163" t="s">
        <v>2</v>
      </c>
      <c r="Y103" s="163"/>
      <c r="Z103" s="163" t="s">
        <v>3</v>
      </c>
      <c r="AA103" s="163" t="s">
        <v>4</v>
      </c>
      <c r="AB103" s="163" t="s">
        <v>4</v>
      </c>
      <c r="AC103" s="163" t="s">
        <v>5</v>
      </c>
      <c r="AD103" s="163" t="s">
        <v>6</v>
      </c>
      <c r="AE103" s="163" t="s">
        <v>7</v>
      </c>
      <c r="AF103" s="163" t="s">
        <v>2</v>
      </c>
      <c r="AG103" s="163"/>
      <c r="AH103" s="163" t="s">
        <v>3</v>
      </c>
      <c r="AI103" s="163" t="s">
        <v>4</v>
      </c>
      <c r="AJ103" s="163" t="s">
        <v>4</v>
      </c>
      <c r="AK103" s="163" t="s">
        <v>5</v>
      </c>
      <c r="AL103" s="163" t="s">
        <v>6</v>
      </c>
      <c r="AM103" s="163" t="s">
        <v>7</v>
      </c>
      <c r="AN103" s="163" t="s">
        <v>2</v>
      </c>
      <c r="AO103" s="151"/>
      <c r="AP103" s="161"/>
    </row>
    <row r="104" spans="1:42" ht="15.75" thickBot="1">
      <c r="A104" s="164" t="s">
        <v>8</v>
      </c>
      <c r="B104" s="168"/>
      <c r="C104" s="168"/>
      <c r="D104" s="169"/>
      <c r="E104" s="169">
        <v>44896</v>
      </c>
      <c r="F104" s="169">
        <v>44897</v>
      </c>
      <c r="G104" s="169">
        <v>44898</v>
      </c>
      <c r="H104" s="169">
        <v>44899</v>
      </c>
      <c r="I104" s="166" t="s">
        <v>9</v>
      </c>
      <c r="J104" s="169">
        <v>44900</v>
      </c>
      <c r="K104" s="169">
        <v>44901</v>
      </c>
      <c r="L104" s="169">
        <v>44902</v>
      </c>
      <c r="M104" s="169">
        <v>44903</v>
      </c>
      <c r="N104" s="169">
        <v>44904</v>
      </c>
      <c r="O104" s="169">
        <v>44905</v>
      </c>
      <c r="P104" s="169">
        <v>44906</v>
      </c>
      <c r="Q104" s="166" t="s">
        <v>9</v>
      </c>
      <c r="R104" s="169">
        <v>44907</v>
      </c>
      <c r="S104" s="169">
        <v>44908</v>
      </c>
      <c r="T104" s="169">
        <v>44909</v>
      </c>
      <c r="U104" s="169">
        <v>44910</v>
      </c>
      <c r="V104" s="169">
        <v>44911</v>
      </c>
      <c r="W104" s="169">
        <v>44912</v>
      </c>
      <c r="X104" s="169">
        <v>44913</v>
      </c>
      <c r="Y104" s="166" t="s">
        <v>9</v>
      </c>
      <c r="Z104" s="169">
        <v>44914</v>
      </c>
      <c r="AA104" s="169">
        <v>44915</v>
      </c>
      <c r="AB104" s="169">
        <v>44916</v>
      </c>
      <c r="AC104" s="169">
        <v>44917</v>
      </c>
      <c r="AD104" s="169">
        <v>44918</v>
      </c>
      <c r="AE104" s="169">
        <v>44919</v>
      </c>
      <c r="AF104" s="169">
        <v>44920</v>
      </c>
      <c r="AG104" s="166" t="s">
        <v>9</v>
      </c>
      <c r="AH104" s="169">
        <v>44921</v>
      </c>
      <c r="AI104" s="169">
        <v>44922</v>
      </c>
      <c r="AJ104" s="169">
        <v>44923</v>
      </c>
      <c r="AK104" s="169">
        <v>44924</v>
      </c>
      <c r="AL104" s="169">
        <v>44925</v>
      </c>
      <c r="AM104" s="169">
        <v>44926</v>
      </c>
      <c r="AN104" s="169">
        <v>44927</v>
      </c>
      <c r="AO104" s="166" t="s">
        <v>9</v>
      </c>
      <c r="AP104" s="191" t="s">
        <v>10</v>
      </c>
    </row>
    <row r="105" spans="1:42">
      <c r="A105" s="170" t="s">
        <v>11</v>
      </c>
      <c r="B105" s="172"/>
      <c r="C105" s="173"/>
      <c r="D105" s="173"/>
      <c r="E105" s="173"/>
      <c r="F105" s="173"/>
      <c r="G105" s="173"/>
      <c r="H105" s="173"/>
      <c r="I105" s="185">
        <f>SUM(B105:H105)</f>
        <v>0</v>
      </c>
      <c r="J105" s="173"/>
      <c r="K105" s="173"/>
      <c r="L105" s="173"/>
      <c r="M105" s="173"/>
      <c r="N105" s="173"/>
      <c r="O105" s="173"/>
      <c r="P105" s="173"/>
      <c r="Q105" s="185">
        <f>SUM(J105:P105)</f>
        <v>0</v>
      </c>
      <c r="R105" s="173"/>
      <c r="S105" s="173"/>
      <c r="T105" s="173"/>
      <c r="U105" s="173"/>
      <c r="V105" s="173"/>
      <c r="W105" s="173"/>
      <c r="X105" s="173"/>
      <c r="Y105" s="185">
        <f>SUM(R105:X105)</f>
        <v>0</v>
      </c>
      <c r="Z105" s="173"/>
      <c r="AA105" s="173"/>
      <c r="AB105" s="173"/>
      <c r="AC105" s="173"/>
      <c r="AD105" s="173"/>
      <c r="AE105" s="173"/>
      <c r="AF105" s="173"/>
      <c r="AG105" s="185">
        <f>SUM(Z105:AF105)</f>
        <v>0</v>
      </c>
      <c r="AH105" s="173"/>
      <c r="AI105" s="173"/>
      <c r="AJ105" s="173"/>
      <c r="AK105" s="173"/>
      <c r="AL105" s="173"/>
      <c r="AM105" s="173"/>
      <c r="AN105" s="173"/>
      <c r="AO105" s="185">
        <f>SUM(AH105:AN105)</f>
        <v>0</v>
      </c>
      <c r="AP105" s="192" t="e">
        <f>SUM(Y105,Q105,I105,#REF!,AG105,AO105)</f>
        <v>#REF!</v>
      </c>
    </row>
    <row r="106" spans="1:42">
      <c r="A106" s="170" t="s">
        <v>12</v>
      </c>
      <c r="B106" s="172"/>
      <c r="C106" s="173"/>
      <c r="D106" s="173"/>
      <c r="E106" s="173"/>
      <c r="F106" s="173"/>
      <c r="G106" s="173"/>
      <c r="H106" s="173"/>
      <c r="I106" s="185">
        <f>SUM(B106:H106)</f>
        <v>0</v>
      </c>
      <c r="J106" s="173"/>
      <c r="K106" s="173"/>
      <c r="L106" s="173"/>
      <c r="M106" s="173"/>
      <c r="N106" s="173"/>
      <c r="O106" s="173"/>
      <c r="P106" s="173"/>
      <c r="Q106" s="185">
        <f>SUM(J106:P106)</f>
        <v>0</v>
      </c>
      <c r="R106" s="173"/>
      <c r="S106" s="173"/>
      <c r="T106" s="173"/>
      <c r="U106" s="173"/>
      <c r="V106" s="173"/>
      <c r="W106" s="173"/>
      <c r="X106" s="173"/>
      <c r="Y106" s="185">
        <f>SUM(R106:X106)</f>
        <v>0</v>
      </c>
      <c r="Z106" s="173"/>
      <c r="AA106" s="173"/>
      <c r="AB106" s="173"/>
      <c r="AC106" s="173"/>
      <c r="AD106" s="173"/>
      <c r="AE106" s="173"/>
      <c r="AF106" s="173"/>
      <c r="AG106" s="185">
        <f>SUM(Z106:AF106)</f>
        <v>0</v>
      </c>
      <c r="AH106" s="173"/>
      <c r="AI106" s="173"/>
      <c r="AJ106" s="173"/>
      <c r="AK106" s="173"/>
      <c r="AL106" s="173"/>
      <c r="AM106" s="173"/>
      <c r="AN106" s="173"/>
      <c r="AO106" s="185">
        <f>SUM(AH106:AN106)</f>
        <v>0</v>
      </c>
      <c r="AP106" s="192" t="e">
        <f>SUM(Y106,Q106,I106,#REF!,AG106,AO106)</f>
        <v>#REF!</v>
      </c>
    </row>
    <row r="107" spans="1:42" ht="15.75" thickBot="1">
      <c r="A107" s="174" t="s">
        <v>13</v>
      </c>
      <c r="B107" s="173"/>
      <c r="C107" s="173"/>
      <c r="D107" s="173">
        <f>'P2'!B94</f>
        <v>0</v>
      </c>
      <c r="E107" s="173">
        <f>'P2'!C94</f>
        <v>0</v>
      </c>
      <c r="F107" s="173">
        <f>'P2'!D94</f>
        <v>0</v>
      </c>
      <c r="G107" s="173">
        <f>'P2'!E94</f>
        <v>0</v>
      </c>
      <c r="H107" s="173">
        <f>'P2'!F94</f>
        <v>0</v>
      </c>
      <c r="I107" s="185">
        <f>SUM(B107:H107)</f>
        <v>0</v>
      </c>
      <c r="J107" s="173">
        <f>'P2'!G94</f>
        <v>0</v>
      </c>
      <c r="K107" s="173">
        <f>'P2'!H94</f>
        <v>0</v>
      </c>
      <c r="L107" s="173">
        <f>'P2'!I94</f>
        <v>0</v>
      </c>
      <c r="M107" s="173">
        <f>'P2'!J94</f>
        <v>0</v>
      </c>
      <c r="N107" s="173">
        <f>'P2'!K94</f>
        <v>0</v>
      </c>
      <c r="O107" s="173">
        <f>'P2'!L94</f>
        <v>0</v>
      </c>
      <c r="P107" s="173">
        <f>'P2'!M94</f>
        <v>0</v>
      </c>
      <c r="Q107" s="185">
        <f>SUM(J107:P107)</f>
        <v>0</v>
      </c>
      <c r="R107" s="173">
        <f>'P2'!N94</f>
        <v>0</v>
      </c>
      <c r="S107" s="173">
        <f>'P2'!O94</f>
        <v>0</v>
      </c>
      <c r="T107" s="173">
        <f>'P2'!P94</f>
        <v>0</v>
      </c>
      <c r="U107" s="173">
        <f>'P2'!Q94</f>
        <v>0</v>
      </c>
      <c r="V107" s="173">
        <f>'P2'!R94</f>
        <v>0</v>
      </c>
      <c r="W107" s="173">
        <f>'P2'!S94</f>
        <v>0</v>
      </c>
      <c r="X107" s="173">
        <f>'P2'!T94</f>
        <v>0</v>
      </c>
      <c r="Y107" s="185">
        <f>SUM(R107:X107)</f>
        <v>0</v>
      </c>
      <c r="Z107" s="173">
        <f>'P2'!U94</f>
        <v>0</v>
      </c>
      <c r="AA107" s="173">
        <f>'P2'!V94</f>
        <v>0</v>
      </c>
      <c r="AB107" s="173">
        <f>'P2'!W94</f>
        <v>0</v>
      </c>
      <c r="AC107" s="173">
        <f>'P2'!X94</f>
        <v>0</v>
      </c>
      <c r="AD107" s="173">
        <f>'P2'!Y94</f>
        <v>0</v>
      </c>
      <c r="AE107" s="173">
        <f>'P2'!Z94</f>
        <v>0</v>
      </c>
      <c r="AF107" s="173">
        <f>'P2'!AA94</f>
        <v>0</v>
      </c>
      <c r="AG107" s="185">
        <f>SUM(Z107:AF107)</f>
        <v>0</v>
      </c>
      <c r="AH107" s="173">
        <f>'P2'!AB94</f>
        <v>0</v>
      </c>
      <c r="AI107" s="173">
        <f>'P2'!AC94</f>
        <v>0</v>
      </c>
      <c r="AJ107" s="173">
        <f>'P2'!AD94</f>
        <v>0</v>
      </c>
      <c r="AK107" s="173">
        <f>'P2'!AE94</f>
        <v>0</v>
      </c>
      <c r="AL107" s="173">
        <f>'P2'!AF94</f>
        <v>0</v>
      </c>
      <c r="AM107" s="173">
        <f>'P2'!AG94</f>
        <v>0</v>
      </c>
      <c r="AN107" s="173">
        <f>'P2'!AH94</f>
        <v>0</v>
      </c>
      <c r="AO107" s="185">
        <f>SUM(AH107:AN107)</f>
        <v>0</v>
      </c>
      <c r="AP107" s="192" t="e">
        <f>SUM(Y107,Q107,I107,#REF!,AG107,AO107)</f>
        <v>#REF!</v>
      </c>
    </row>
    <row r="108" spans="1:42" ht="15.75" thickBot="1">
      <c r="A108" s="164" t="s">
        <v>15</v>
      </c>
      <c r="B108" s="177" t="e">
        <f t="shared" ref="B108:I108" si="99">B107/B105</f>
        <v>#DIV/0!</v>
      </c>
      <c r="C108" s="177" t="e">
        <f t="shared" si="99"/>
        <v>#DIV/0!</v>
      </c>
      <c r="D108" s="177" t="e">
        <f t="shared" si="99"/>
        <v>#DIV/0!</v>
      </c>
      <c r="E108" s="177" t="e">
        <f t="shared" si="99"/>
        <v>#DIV/0!</v>
      </c>
      <c r="F108" s="177" t="e">
        <f t="shared" si="99"/>
        <v>#DIV/0!</v>
      </c>
      <c r="G108" s="177" t="e">
        <f t="shared" si="99"/>
        <v>#DIV/0!</v>
      </c>
      <c r="H108" s="177" t="e">
        <f t="shared" si="99"/>
        <v>#DIV/0!</v>
      </c>
      <c r="I108" s="176" t="e">
        <f t="shared" si="99"/>
        <v>#DIV/0!</v>
      </c>
      <c r="J108" s="177" t="e">
        <f t="shared" ref="J108:R108" si="100">J107/J105</f>
        <v>#DIV/0!</v>
      </c>
      <c r="K108" s="177" t="e">
        <f t="shared" si="100"/>
        <v>#DIV/0!</v>
      </c>
      <c r="L108" s="177" t="e">
        <f t="shared" si="100"/>
        <v>#DIV/0!</v>
      </c>
      <c r="M108" s="177" t="e">
        <f t="shared" si="100"/>
        <v>#DIV/0!</v>
      </c>
      <c r="N108" s="177" t="e">
        <f t="shared" si="100"/>
        <v>#DIV/0!</v>
      </c>
      <c r="O108" s="177" t="e">
        <f t="shared" si="100"/>
        <v>#DIV/0!</v>
      </c>
      <c r="P108" s="177" t="e">
        <f t="shared" si="100"/>
        <v>#DIV/0!</v>
      </c>
      <c r="Q108" s="176" t="e">
        <f t="shared" si="100"/>
        <v>#DIV/0!</v>
      </c>
      <c r="R108" s="177" t="e">
        <f t="shared" si="100"/>
        <v>#DIV/0!</v>
      </c>
      <c r="S108" s="177" t="e">
        <f t="shared" ref="S108:Y108" si="101">S107/S105</f>
        <v>#DIV/0!</v>
      </c>
      <c r="T108" s="177" t="e">
        <f t="shared" si="101"/>
        <v>#DIV/0!</v>
      </c>
      <c r="U108" s="177" t="e">
        <f t="shared" si="101"/>
        <v>#DIV/0!</v>
      </c>
      <c r="V108" s="177" t="e">
        <f t="shared" si="101"/>
        <v>#DIV/0!</v>
      </c>
      <c r="W108" s="177" t="e">
        <f t="shared" si="101"/>
        <v>#DIV/0!</v>
      </c>
      <c r="X108" s="177" t="e">
        <f t="shared" si="101"/>
        <v>#DIV/0!</v>
      </c>
      <c r="Y108" s="176" t="e">
        <f t="shared" si="101"/>
        <v>#DIV/0!</v>
      </c>
      <c r="Z108" s="177" t="e">
        <f t="shared" ref="Z108:AG108" si="102">Z107/Z105</f>
        <v>#DIV/0!</v>
      </c>
      <c r="AA108" s="177" t="e">
        <f t="shared" si="102"/>
        <v>#DIV/0!</v>
      </c>
      <c r="AB108" s="177" t="e">
        <f t="shared" si="102"/>
        <v>#DIV/0!</v>
      </c>
      <c r="AC108" s="177" t="e">
        <f t="shared" si="102"/>
        <v>#DIV/0!</v>
      </c>
      <c r="AD108" s="177" t="e">
        <f t="shared" si="102"/>
        <v>#DIV/0!</v>
      </c>
      <c r="AE108" s="177" t="e">
        <f t="shared" si="102"/>
        <v>#DIV/0!</v>
      </c>
      <c r="AF108" s="177" t="e">
        <f t="shared" si="102"/>
        <v>#DIV/0!</v>
      </c>
      <c r="AG108" s="176" t="e">
        <f t="shared" si="102"/>
        <v>#DIV/0!</v>
      </c>
      <c r="AH108" s="177" t="e">
        <f t="shared" ref="AH108:AP108" si="103">AH107/AH105</f>
        <v>#DIV/0!</v>
      </c>
      <c r="AI108" s="177" t="e">
        <f t="shared" si="103"/>
        <v>#DIV/0!</v>
      </c>
      <c r="AJ108" s="177" t="e">
        <f t="shared" si="103"/>
        <v>#DIV/0!</v>
      </c>
      <c r="AK108" s="177" t="e">
        <f t="shared" si="103"/>
        <v>#DIV/0!</v>
      </c>
      <c r="AL108" s="177" t="e">
        <f t="shared" si="103"/>
        <v>#DIV/0!</v>
      </c>
      <c r="AM108" s="177" t="e">
        <f t="shared" si="103"/>
        <v>#DIV/0!</v>
      </c>
      <c r="AN108" s="177" t="e">
        <f t="shared" si="103"/>
        <v>#DIV/0!</v>
      </c>
      <c r="AO108" s="176" t="e">
        <f t="shared" si="103"/>
        <v>#DIV/0!</v>
      </c>
      <c r="AP108" s="193" t="e">
        <f t="shared" si="103"/>
        <v>#REF!</v>
      </c>
    </row>
    <row r="109" spans="1:42">
      <c r="B109" s="178"/>
      <c r="C109" s="178"/>
      <c r="D109" s="178"/>
      <c r="E109" s="178"/>
      <c r="F109" s="178"/>
      <c r="G109" s="186"/>
      <c r="H109" s="178"/>
      <c r="I109" s="151"/>
      <c r="J109" s="178"/>
      <c r="K109" s="178"/>
      <c r="L109" s="178"/>
      <c r="M109" s="178"/>
      <c r="N109" s="178"/>
      <c r="O109" s="178"/>
      <c r="P109" s="188"/>
      <c r="Q109" s="151"/>
      <c r="R109" s="189"/>
      <c r="S109" s="189"/>
      <c r="T109" s="189"/>
      <c r="U109" s="189"/>
      <c r="V109" s="189"/>
      <c r="W109" s="189"/>
      <c r="X109" s="189"/>
      <c r="Y109" s="151"/>
      <c r="Z109" s="188"/>
      <c r="AA109" s="178"/>
      <c r="AB109" s="178"/>
      <c r="AC109" s="178"/>
      <c r="AD109" s="178"/>
      <c r="AE109" s="178"/>
      <c r="AF109" s="178"/>
      <c r="AG109" s="151"/>
      <c r="AH109" s="178"/>
      <c r="AI109" s="188"/>
      <c r="AJ109" s="189"/>
      <c r="AK109" s="189"/>
      <c r="AL109" s="189"/>
      <c r="AM109" s="189"/>
      <c r="AN109" s="189"/>
      <c r="AO109" s="151"/>
      <c r="AP109" s="47"/>
    </row>
    <row r="110" spans="1:42">
      <c r="A110" s="181" t="s">
        <v>17</v>
      </c>
      <c r="B110" s="180"/>
      <c r="C110" s="180"/>
      <c r="D110" s="180"/>
      <c r="E110" s="180"/>
      <c r="F110" s="180"/>
      <c r="G110" s="187"/>
      <c r="H110" s="180"/>
      <c r="I110" s="179"/>
      <c r="J110" s="180"/>
      <c r="K110" s="180"/>
      <c r="L110" s="180"/>
      <c r="M110" s="180"/>
      <c r="N110" s="180"/>
      <c r="O110" s="180"/>
      <c r="P110" s="187"/>
      <c r="Q110" s="179"/>
      <c r="R110" s="180"/>
      <c r="S110" s="180"/>
      <c r="T110" s="180"/>
      <c r="U110" s="180"/>
      <c r="V110" s="180"/>
      <c r="W110" s="180"/>
      <c r="X110" s="180"/>
      <c r="Y110" s="179"/>
      <c r="Z110" s="180"/>
      <c r="AA110" s="180"/>
      <c r="AB110" s="180"/>
      <c r="AC110" s="180"/>
      <c r="AD110" s="180"/>
      <c r="AE110" s="180"/>
      <c r="AF110" s="180"/>
      <c r="AG110" s="179"/>
      <c r="AH110" s="180"/>
      <c r="AI110" s="187"/>
      <c r="AJ110" s="180"/>
      <c r="AK110" s="180"/>
      <c r="AL110" s="180"/>
      <c r="AM110" s="180"/>
      <c r="AN110" s="180">
        <f>SUM(D110:H110,J110:P110,R110:X110,Z110:AF110,AH110:AL110)</f>
        <v>0</v>
      </c>
      <c r="AO110" s="195" t="s">
        <v>17</v>
      </c>
      <c r="AP110" s="121"/>
    </row>
    <row r="111" spans="1:42">
      <c r="A111" s="179" t="s">
        <v>16</v>
      </c>
      <c r="B111" s="160"/>
      <c r="C111" s="182"/>
      <c r="D111" s="160"/>
      <c r="E111" s="160"/>
      <c r="F111" s="182"/>
      <c r="G111" s="182"/>
      <c r="H111" s="182"/>
      <c r="I111" s="181"/>
      <c r="J111" s="182"/>
      <c r="K111" s="182"/>
      <c r="L111" s="160"/>
      <c r="M111" s="160"/>
      <c r="N111" s="182"/>
      <c r="O111" s="182"/>
      <c r="P111" s="160"/>
      <c r="Q111" s="181"/>
      <c r="R111" s="160"/>
      <c r="S111" s="160"/>
      <c r="T111" s="160"/>
      <c r="U111" s="160"/>
      <c r="V111" s="160"/>
      <c r="W111" s="160"/>
      <c r="X111" s="160"/>
      <c r="Y111" s="181"/>
      <c r="Z111" s="160"/>
      <c r="AA111" s="160"/>
      <c r="AB111" s="160"/>
      <c r="AC111" s="160"/>
      <c r="AD111" s="160"/>
      <c r="AE111" s="160"/>
      <c r="AF111" s="160"/>
      <c r="AG111" s="181"/>
      <c r="AH111" s="160"/>
      <c r="AI111" s="160"/>
      <c r="AJ111" s="160"/>
      <c r="AK111" s="160"/>
      <c r="AL111" s="190"/>
      <c r="AM111" s="160"/>
      <c r="AN111" s="160">
        <f>SUM(D111:H111,J111:P111,R111:X111,Z111:AF111,AH111:AL111)</f>
        <v>0</v>
      </c>
      <c r="AO111" s="194" t="s">
        <v>16</v>
      </c>
      <c r="AP111" s="196"/>
    </row>
  </sheetData>
  <pageMargins left="0.69930555555555596" right="0.6993055555555559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P29"/>
  <sheetViews>
    <sheetView zoomScale="90" zoomScaleNormal="90" workbookViewId="0">
      <selection activeCell="P6" sqref="P6"/>
    </sheetView>
  </sheetViews>
  <sheetFormatPr defaultColWidth="9.140625" defaultRowHeight="15"/>
  <cols>
    <col min="1" max="1" width="21.85546875" customWidth="1"/>
    <col min="2" max="11" width="11.28515625" customWidth="1"/>
    <col min="12" max="12" width="11.5703125" customWidth="1"/>
    <col min="13" max="13" width="11.28515625" customWidth="1"/>
    <col min="14" max="14" width="12.28515625" customWidth="1"/>
    <col min="16" max="16" width="11.28515625" bestFit="1" customWidth="1"/>
  </cols>
  <sheetData>
    <row r="1" spans="1:16" ht="18.75">
      <c r="A1" s="130" t="s">
        <v>167</v>
      </c>
    </row>
    <row r="2" spans="1:16">
      <c r="K2" s="151" t="s">
        <v>50</v>
      </c>
      <c r="L2" s="333">
        <f ca="1">NOW()</f>
        <v>44823.666436458334</v>
      </c>
      <c r="M2" s="333"/>
    </row>
    <row r="3" spans="1:16">
      <c r="A3" s="131" t="s">
        <v>0</v>
      </c>
    </row>
    <row r="4" spans="1:16">
      <c r="A4" s="132" t="s">
        <v>51</v>
      </c>
      <c r="B4" s="133" t="s">
        <v>52</v>
      </c>
      <c r="C4" s="134" t="s">
        <v>53</v>
      </c>
      <c r="D4" s="134" t="s">
        <v>54</v>
      </c>
      <c r="E4" s="134" t="s">
        <v>55</v>
      </c>
      <c r="F4" s="134" t="s">
        <v>56</v>
      </c>
      <c r="G4" s="134" t="s">
        <v>57</v>
      </c>
      <c r="H4" s="134" t="s">
        <v>58</v>
      </c>
      <c r="I4" s="134" t="s">
        <v>59</v>
      </c>
      <c r="J4" s="134" t="s">
        <v>60</v>
      </c>
      <c r="K4" s="134" t="s">
        <v>61</v>
      </c>
      <c r="L4" s="134" t="s">
        <v>62</v>
      </c>
      <c r="M4" s="134" t="s">
        <v>63</v>
      </c>
      <c r="N4" s="152" t="s">
        <v>10</v>
      </c>
    </row>
    <row r="5" spans="1:16">
      <c r="A5" s="135" t="s">
        <v>64</v>
      </c>
      <c r="B5" s="136">
        <f>'PLANT 1'!$AQ$6+'PLANT 1'!$AQ$7</f>
        <v>1855036</v>
      </c>
      <c r="C5" s="137">
        <f>'PLANT 1'!$AQ$16+'PLANT 1'!$AQ$17</f>
        <v>2409492</v>
      </c>
      <c r="D5" s="137">
        <f>'PLANT 1'!$AQ$26+'PLANT 1'!AQ27</f>
        <v>2864353</v>
      </c>
      <c r="E5" s="137">
        <f>'PLANT 1'!$AQ$36+'PLANT 1'!AQ37</f>
        <v>2705729</v>
      </c>
      <c r="F5" s="137">
        <f>'PLANT 1'!$AR$46+'PLANT 1'!AR47</f>
        <v>2771127</v>
      </c>
      <c r="G5" s="137">
        <f>'PLANT 1'!$AQ$56+'PLANT 1'!AQ57</f>
        <v>2616438.69</v>
      </c>
      <c r="H5" s="137">
        <f>'PLANT 1'!$AQ$66+'PLANT 1'!AQ67</f>
        <v>2750187</v>
      </c>
      <c r="I5" s="137">
        <f>'PLANT 1'!$AQ$76+'PLANT 1'!AQ77</f>
        <v>3236503</v>
      </c>
      <c r="J5" s="137">
        <f>'PLANT 1'!$AQ$86+'PLANT 1'!AQ87</f>
        <v>1334069</v>
      </c>
      <c r="K5" s="137">
        <f>'PLANT 1'!$AR$96</f>
        <v>0</v>
      </c>
      <c r="L5" s="137" t="e">
        <f>'PLANT 1'!$AQ$105</f>
        <v>#REF!</v>
      </c>
      <c r="M5" s="137" t="e">
        <f>'PLANT 1'!$AQ$114</f>
        <v>#REF!</v>
      </c>
      <c r="N5" s="153" t="e">
        <f>SUM(B5:M5)</f>
        <v>#REF!</v>
      </c>
    </row>
    <row r="6" spans="1:16">
      <c r="A6" s="138" t="s">
        <v>65</v>
      </c>
      <c r="B6" s="139">
        <f>'PLANT 1'!$AQ$8</f>
        <v>640715.5</v>
      </c>
      <c r="C6" s="140">
        <f>'PLANT 1'!$AQ$18</f>
        <v>692796</v>
      </c>
      <c r="D6" s="140">
        <f>'PLANT 1'!$AQ$28</f>
        <v>886656</v>
      </c>
      <c r="E6" s="140">
        <f>'PLANT 1'!$AQ$38</f>
        <v>853148</v>
      </c>
      <c r="F6" s="140">
        <f>'PLANT 1'!$AR$48</f>
        <v>967673</v>
      </c>
      <c r="G6" s="140">
        <f>'PLANT 1'!$AQ$58</f>
        <v>713290.5</v>
      </c>
      <c r="H6" s="140">
        <f>'PLANT 1'!$AQ$68</f>
        <v>763051.5</v>
      </c>
      <c r="I6" s="140">
        <f>'PLANT 1'!$AQ$78</f>
        <v>964206</v>
      </c>
      <c r="J6" s="140">
        <f>'PLANT 1'!$AQ$88</f>
        <v>404280</v>
      </c>
      <c r="K6" s="140" t="e">
        <f>'PLANT 1'!$AR$98</f>
        <v>#REF!</v>
      </c>
      <c r="L6" s="140" t="e">
        <f>'PLANT 1'!$AQ$107</f>
        <v>#REF!</v>
      </c>
      <c r="M6" s="140" t="e">
        <f>'PLANT 1'!$AQ$116</f>
        <v>#REF!</v>
      </c>
      <c r="N6" s="154" t="e">
        <f>SUM(B6:M6)</f>
        <v>#REF!</v>
      </c>
    </row>
    <row r="7" spans="1:16">
      <c r="A7" s="141" t="s">
        <v>15</v>
      </c>
      <c r="B7" s="142">
        <f>B6/B5</f>
        <v>0.34539248833984892</v>
      </c>
      <c r="C7" s="143">
        <f>C6/C5</f>
        <v>0.28752782744246508</v>
      </c>
      <c r="D7" s="143">
        <f t="shared" ref="D7:M7" si="0">D6/D5</f>
        <v>0.30954843903666901</v>
      </c>
      <c r="E7" s="143">
        <f t="shared" si="0"/>
        <v>0.31531169603459919</v>
      </c>
      <c r="F7" s="143">
        <f t="shared" si="0"/>
        <v>0.3491983586461393</v>
      </c>
      <c r="G7" s="143">
        <f>G6/G5</f>
        <v>0.2726188474150717</v>
      </c>
      <c r="H7" s="143">
        <f t="shared" si="0"/>
        <v>0.27745440582767644</v>
      </c>
      <c r="I7" s="143">
        <f t="shared" si="0"/>
        <v>0.29791599142654895</v>
      </c>
      <c r="J7" s="143">
        <f t="shared" si="0"/>
        <v>0.30304279613723129</v>
      </c>
      <c r="K7" s="143" t="e">
        <f t="shared" si="0"/>
        <v>#REF!</v>
      </c>
      <c r="L7" s="143" t="e">
        <f t="shared" si="0"/>
        <v>#REF!</v>
      </c>
      <c r="M7" s="143" t="e">
        <f t="shared" si="0"/>
        <v>#REF!</v>
      </c>
      <c r="N7" s="155" t="e">
        <f>N6/N5</f>
        <v>#REF!</v>
      </c>
    </row>
    <row r="8" spans="1:16">
      <c r="A8" s="131" t="s">
        <v>30</v>
      </c>
    </row>
    <row r="9" spans="1:16">
      <c r="A9" s="144" t="s">
        <v>64</v>
      </c>
      <c r="B9" s="136">
        <f>'PLANT 2'!$AT$6</f>
        <v>267132</v>
      </c>
      <c r="C9" s="137">
        <f>'PLANT 2'!$AS$15</f>
        <v>169745.57255330001</v>
      </c>
      <c r="D9" s="137">
        <f>'PLANT 2'!$AS$24</f>
        <v>226519</v>
      </c>
      <c r="E9" s="137">
        <f>'PLANT 2'!$AS$33</f>
        <v>235532.54061600001</v>
      </c>
      <c r="F9" s="137">
        <f>'PLANT 2'!$AS$42</f>
        <v>205334.67178999999</v>
      </c>
      <c r="G9" s="137">
        <f>'PLANT 2'!$AS$51</f>
        <v>227086.600252</v>
      </c>
      <c r="H9" s="137">
        <f>'PLANT 2'!$AS$60</f>
        <v>182108.02468500001</v>
      </c>
      <c r="I9" s="137">
        <f>'PLANT 2'!$AS$69</f>
        <v>307077.21926859999</v>
      </c>
      <c r="J9" s="137">
        <f>'PLANT 2'!$AS$78</f>
        <v>161060.739519</v>
      </c>
      <c r="K9" s="137" t="e">
        <f>'PLANT 2'!$AT$87</f>
        <v>#REF!</v>
      </c>
      <c r="L9" s="137" t="e">
        <f>'PLANT 2'!$AS$96</f>
        <v>#REF!</v>
      </c>
      <c r="M9" s="137" t="e">
        <f>'PLANT 2'!$AS$105</f>
        <v>#REF!</v>
      </c>
      <c r="N9" s="153" t="e">
        <f>SUM(B9:M9)</f>
        <v>#REF!</v>
      </c>
    </row>
    <row r="10" spans="1:16">
      <c r="A10" s="138" t="s">
        <v>65</v>
      </c>
      <c r="B10" s="139">
        <f>'PLANT 2'!$AT$8</f>
        <v>52581</v>
      </c>
      <c r="C10" s="140">
        <f>'PLANT 2'!$AS$17</f>
        <v>54430</v>
      </c>
      <c r="D10" s="140">
        <f>'PLANT 2'!$AS$26</f>
        <v>72671</v>
      </c>
      <c r="E10" s="140">
        <f>'PLANT 2'!$AS$35</f>
        <v>90641</v>
      </c>
      <c r="F10" s="140">
        <f>'PLANT 2'!$AS$44</f>
        <v>77877</v>
      </c>
      <c r="G10" s="140">
        <f>'PLANT 2'!$AS$53</f>
        <v>55088</v>
      </c>
      <c r="H10" s="140">
        <f>'PLANT 2'!$AS$62</f>
        <v>38846</v>
      </c>
      <c r="I10" s="140">
        <f>'PLANT 2'!$AS$71</f>
        <v>61163</v>
      </c>
      <c r="J10" s="140">
        <f>'PLANT 2'!$AS$80</f>
        <v>39812</v>
      </c>
      <c r="K10" s="140" t="e">
        <f>'PLANT 2'!$AT$89</f>
        <v>#REF!</v>
      </c>
      <c r="L10" s="140" t="e">
        <f>'PLANT 2'!$AS$98</f>
        <v>#REF!</v>
      </c>
      <c r="M10" s="140" t="e">
        <f>'PLANT 2'!$AS$107</f>
        <v>#REF!</v>
      </c>
      <c r="N10" s="154" t="e">
        <f>SUM(B10:M10)</f>
        <v>#REF!</v>
      </c>
      <c r="P10" s="272"/>
    </row>
    <row r="11" spans="1:16">
      <c r="A11" s="141" t="s">
        <v>15</v>
      </c>
      <c r="B11" s="142">
        <f t="shared" ref="B11:N11" si="1">B10/B9</f>
        <v>0.19683527244957549</v>
      </c>
      <c r="C11" s="143">
        <f t="shared" si="1"/>
        <v>0.32065637519299073</v>
      </c>
      <c r="D11" s="143">
        <f t="shared" si="1"/>
        <v>0.32081635536091896</v>
      </c>
      <c r="E11" s="143">
        <f t="shared" si="1"/>
        <v>0.38483429832218541</v>
      </c>
      <c r="F11" s="143">
        <f t="shared" si="1"/>
        <v>0.37926863164953661</v>
      </c>
      <c r="G11" s="143">
        <f t="shared" si="1"/>
        <v>0.24258586785335798</v>
      </c>
      <c r="H11" s="143">
        <f>H10/H9</f>
        <v>0.21331295019642094</v>
      </c>
      <c r="I11" s="143">
        <f>I10/I9</f>
        <v>0.19917791409495869</v>
      </c>
      <c r="J11" s="143">
        <f t="shared" si="1"/>
        <v>0.24718624860966482</v>
      </c>
      <c r="K11" s="143" t="e">
        <f t="shared" si="1"/>
        <v>#REF!</v>
      </c>
      <c r="L11" s="143" t="e">
        <f t="shared" si="1"/>
        <v>#REF!</v>
      </c>
      <c r="M11" s="143" t="e">
        <f t="shared" si="1"/>
        <v>#REF!</v>
      </c>
      <c r="N11" s="155" t="e">
        <f t="shared" si="1"/>
        <v>#REF!</v>
      </c>
    </row>
    <row r="12" spans="1:16">
      <c r="A12" s="131" t="s">
        <v>168</v>
      </c>
    </row>
    <row r="13" spans="1:16">
      <c r="A13" s="144" t="s">
        <v>64</v>
      </c>
      <c r="B13" s="136">
        <f>'PLANT 3'!$AQ$6</f>
        <v>1571559</v>
      </c>
      <c r="C13" s="137">
        <f>'PLANT 3'!$AP$15</f>
        <v>1245277</v>
      </c>
      <c r="D13" s="137">
        <f>'PLANT 3'!$AP$24</f>
        <v>1613032</v>
      </c>
      <c r="E13" s="137">
        <f>'PLANT 3'!$AP$33</f>
        <v>1976407</v>
      </c>
      <c r="F13" s="137">
        <f>'PLANT 3'!$AP$42</f>
        <v>1960921</v>
      </c>
      <c r="G13" s="137">
        <f>'PLANT 3'!$AP$51</f>
        <v>2410061</v>
      </c>
      <c r="H13" s="137">
        <f>'PLANT 3'!AP60</f>
        <v>2093499</v>
      </c>
      <c r="I13" s="137">
        <f>'PLANT 3'!$AP$69</f>
        <v>2666279</v>
      </c>
      <c r="J13" s="137">
        <f>'PLANT 3'!AP78</f>
        <v>961439</v>
      </c>
      <c r="K13" s="137" t="e">
        <f>'PLANT 3'!$AQ$87</f>
        <v>#REF!</v>
      </c>
      <c r="L13" s="137" t="e">
        <f>'PLANT 3'!$AP$96</f>
        <v>#REF!</v>
      </c>
      <c r="M13" s="137" t="e">
        <f>'PLANT 3'!$AP$105</f>
        <v>#REF!</v>
      </c>
      <c r="N13" s="156" t="e">
        <f>SUM(B13:M13)</f>
        <v>#REF!</v>
      </c>
      <c r="P13" s="272"/>
    </row>
    <row r="14" spans="1:16">
      <c r="A14" s="138" t="s">
        <v>65</v>
      </c>
      <c r="B14" s="139">
        <f>'PLANT 3'!$AQ$8</f>
        <v>243089</v>
      </c>
      <c r="C14" s="140">
        <f>'PLANT 3'!AP17</f>
        <v>203312</v>
      </c>
      <c r="D14" s="140">
        <f>'PLANT 3'!AP26</f>
        <v>284646</v>
      </c>
      <c r="E14" s="140">
        <f>'PLANT 3'!AP35</f>
        <v>328410</v>
      </c>
      <c r="F14" s="140">
        <f>'PLANT 3'!AP44</f>
        <v>288267</v>
      </c>
      <c r="G14" s="140">
        <f>'PLANT 3'!$AP$53</f>
        <v>264503</v>
      </c>
      <c r="H14" s="140">
        <f>'PLANT 3'!AP62</f>
        <v>245780.5</v>
      </c>
      <c r="I14" s="140">
        <f>'PLANT 3'!$AP$71</f>
        <v>252419</v>
      </c>
      <c r="J14" s="140">
        <f>'PLANT 3'!$AP$80</f>
        <v>112834</v>
      </c>
      <c r="K14" s="140" t="e">
        <f>'PLANT 3'!$AQ$89</f>
        <v>#REF!</v>
      </c>
      <c r="L14" s="140" t="e">
        <f>'PLANT 3'!$AP$98</f>
        <v>#REF!</v>
      </c>
      <c r="M14" s="140" t="e">
        <f>'PLANT 3'!$AP$107</f>
        <v>#REF!</v>
      </c>
      <c r="N14" s="154" t="e">
        <f>SUM(B14:M14)</f>
        <v>#REF!</v>
      </c>
    </row>
    <row r="15" spans="1:16">
      <c r="A15" s="141" t="s">
        <v>15</v>
      </c>
      <c r="B15" s="142">
        <f>B14/B13</f>
        <v>0.15468016154659164</v>
      </c>
      <c r="C15" s="143">
        <f t="shared" ref="C15:M15" si="2">C14/C13</f>
        <v>0.16326648609104641</v>
      </c>
      <c r="D15" s="143">
        <f t="shared" si="2"/>
        <v>0.17646643092015535</v>
      </c>
      <c r="E15" s="143">
        <f t="shared" si="2"/>
        <v>0.16616516739720108</v>
      </c>
      <c r="F15" s="143">
        <f t="shared" si="2"/>
        <v>0.14700592221716224</v>
      </c>
      <c r="G15" s="143">
        <f t="shared" si="2"/>
        <v>0.10974950426565967</v>
      </c>
      <c r="H15" s="143">
        <f>H14/H13</f>
        <v>0.11740177568749734</v>
      </c>
      <c r="I15" s="143">
        <f>I14/I13</f>
        <v>9.4670887780311061E-2</v>
      </c>
      <c r="J15" s="143">
        <f t="shared" si="2"/>
        <v>0.11735949966664552</v>
      </c>
      <c r="K15" s="143" t="e">
        <f t="shared" si="2"/>
        <v>#REF!</v>
      </c>
      <c r="L15" s="143" t="e">
        <f t="shared" si="2"/>
        <v>#REF!</v>
      </c>
      <c r="M15" s="143" t="e">
        <f t="shared" si="2"/>
        <v>#REF!</v>
      </c>
      <c r="N15" s="155" t="e">
        <f>N14/N13</f>
        <v>#REF!</v>
      </c>
    </row>
    <row r="16" spans="1:16">
      <c r="A16" s="131" t="s">
        <v>66</v>
      </c>
      <c r="N16" s="157"/>
    </row>
    <row r="17" spans="1:14">
      <c r="A17" s="144" t="s">
        <v>64</v>
      </c>
      <c r="B17" s="145">
        <f>B5+B9+B13</f>
        <v>3693727</v>
      </c>
      <c r="C17" s="145">
        <f t="shared" ref="C17:E17" si="3">C5+C9+C13</f>
        <v>3824514.5725532998</v>
      </c>
      <c r="D17" s="145">
        <f t="shared" si="3"/>
        <v>4703904</v>
      </c>
      <c r="E17" s="145">
        <f t="shared" si="3"/>
        <v>4917668.5406160001</v>
      </c>
      <c r="F17" s="145">
        <f>F5+F9+F13</f>
        <v>4937382.6717900001</v>
      </c>
      <c r="G17" s="145">
        <f>G5+G9+G13</f>
        <v>5253586.2902520001</v>
      </c>
      <c r="H17" s="145">
        <f>H5+H9+H13</f>
        <v>5025794.0246850001</v>
      </c>
      <c r="I17" s="145">
        <f t="shared" ref="I17:M17" si="4">I5+I9+I13</f>
        <v>6209859.2192685995</v>
      </c>
      <c r="J17" s="145">
        <f t="shared" si="4"/>
        <v>2456568.7395190001</v>
      </c>
      <c r="K17" s="145" t="e">
        <f t="shared" si="4"/>
        <v>#REF!</v>
      </c>
      <c r="L17" s="145" t="e">
        <f t="shared" si="4"/>
        <v>#REF!</v>
      </c>
      <c r="M17" s="145" t="e">
        <f t="shared" si="4"/>
        <v>#REF!</v>
      </c>
      <c r="N17" s="156" t="e">
        <f t="shared" ref="N17:N18" si="5">SUM(B17:M17)</f>
        <v>#REF!</v>
      </c>
    </row>
    <row r="18" spans="1:14" ht="15.75" thickBot="1">
      <c r="A18" s="138" t="s">
        <v>65</v>
      </c>
      <c r="B18" s="139">
        <f>B6+B10+B14</f>
        <v>936385.5</v>
      </c>
      <c r="C18" s="139">
        <f>C6+C10+C14</f>
        <v>950538</v>
      </c>
      <c r="D18" s="139">
        <f>D6+D10+D14</f>
        <v>1243973</v>
      </c>
      <c r="E18" s="139">
        <f>E6+E10+E14</f>
        <v>1272199</v>
      </c>
      <c r="F18" s="139">
        <f>F6+F10+F14</f>
        <v>1333817</v>
      </c>
      <c r="G18" s="139">
        <f>G6+G10+G14</f>
        <v>1032881.5</v>
      </c>
      <c r="H18" s="139">
        <f>SUM(H6,H10,H14)</f>
        <v>1047678</v>
      </c>
      <c r="I18" s="139">
        <f t="shared" ref="I18:M18" si="6">I6+I10+I14</f>
        <v>1277788</v>
      </c>
      <c r="J18" s="139">
        <f t="shared" si="6"/>
        <v>556926</v>
      </c>
      <c r="K18" s="139" t="e">
        <f t="shared" si="6"/>
        <v>#REF!</v>
      </c>
      <c r="L18" s="139" t="e">
        <f t="shared" si="6"/>
        <v>#REF!</v>
      </c>
      <c r="M18" s="139" t="e">
        <f t="shared" si="6"/>
        <v>#REF!</v>
      </c>
      <c r="N18" s="154" t="e">
        <f t="shared" si="5"/>
        <v>#REF!</v>
      </c>
    </row>
    <row r="19" spans="1:14" ht="19.5" thickBot="1">
      <c r="A19" s="146" t="s">
        <v>169</v>
      </c>
      <c r="B19" s="147">
        <f>B18/B17</f>
        <v>0.25350695923115052</v>
      </c>
      <c r="C19" s="147">
        <f t="shared" ref="C19:N19" si="7">C18/C17</f>
        <v>0.24853820843605975</v>
      </c>
      <c r="D19" s="147">
        <f t="shared" si="7"/>
        <v>0.2644554395667939</v>
      </c>
      <c r="E19" s="147">
        <f t="shared" si="7"/>
        <v>0.2586996235091194</v>
      </c>
      <c r="F19" s="147">
        <f>F18/F17</f>
        <v>0.27014657130403014</v>
      </c>
      <c r="G19" s="147">
        <f t="shared" si="7"/>
        <v>0.19660503186490072</v>
      </c>
      <c r="H19" s="147">
        <f t="shared" si="7"/>
        <v>0.20846019451934561</v>
      </c>
      <c r="I19" s="147">
        <f t="shared" si="7"/>
        <v>0.20576762771612375</v>
      </c>
      <c r="J19" s="147">
        <f t="shared" si="7"/>
        <v>0.22670890133896557</v>
      </c>
      <c r="K19" s="147" t="e">
        <f t="shared" si="7"/>
        <v>#REF!</v>
      </c>
      <c r="L19" s="147" t="e">
        <f t="shared" si="7"/>
        <v>#REF!</v>
      </c>
      <c r="M19" s="147" t="e">
        <f t="shared" si="7"/>
        <v>#REF!</v>
      </c>
      <c r="N19" s="147" t="e">
        <f t="shared" si="7"/>
        <v>#REF!</v>
      </c>
    </row>
    <row r="20" spans="1:14" ht="19.5" thickBot="1">
      <c r="A20" s="148" t="s">
        <v>67</v>
      </c>
      <c r="B20" s="301">
        <v>0.282989304849741</v>
      </c>
      <c r="C20" s="301">
        <v>0.27007970297262551</v>
      </c>
      <c r="D20" s="301">
        <v>0.3066758164104102</v>
      </c>
      <c r="E20" s="301">
        <v>0.27084123889353762</v>
      </c>
      <c r="F20" s="301">
        <v>0.28276261919883672</v>
      </c>
      <c r="G20" s="301">
        <v>0.26307383890782665</v>
      </c>
      <c r="H20" s="301">
        <v>0.28386292611017627</v>
      </c>
      <c r="I20" s="301">
        <v>0.27436083219093144</v>
      </c>
      <c r="J20" s="301">
        <v>0.29386309099487212</v>
      </c>
      <c r="K20" s="301">
        <v>0.34440180086503924</v>
      </c>
      <c r="L20" s="301">
        <v>0.30189860882516328</v>
      </c>
      <c r="M20" s="301">
        <v>0.3863674855894586</v>
      </c>
      <c r="N20" s="301">
        <v>0.29415688516561711</v>
      </c>
    </row>
    <row r="21" spans="1:14" ht="18.75">
      <c r="A21" s="148" t="s">
        <v>68</v>
      </c>
      <c r="B21" s="149">
        <v>0.242100106239724</v>
      </c>
      <c r="C21" s="149">
        <v>0.27398662115428402</v>
      </c>
      <c r="D21" s="149">
        <v>0.253900865425154</v>
      </c>
      <c r="E21" s="149">
        <v>0.25827170716646802</v>
      </c>
      <c r="F21" s="149">
        <v>0.22432914924109401</v>
      </c>
      <c r="G21" s="149">
        <v>0.25367742390097497</v>
      </c>
      <c r="H21" s="149">
        <v>0.211686751242052</v>
      </c>
      <c r="I21" s="149">
        <v>0.26441243884495202</v>
      </c>
      <c r="J21" s="149">
        <v>0.25662659219856898</v>
      </c>
      <c r="K21" s="149">
        <v>0.27575345176209698</v>
      </c>
      <c r="L21" s="149">
        <v>0.28621880952699902</v>
      </c>
      <c r="M21" s="149">
        <v>0.33403510804214398</v>
      </c>
      <c r="N21" s="149">
        <v>0.25826888813466498</v>
      </c>
    </row>
    <row r="22" spans="1:14" ht="18.75">
      <c r="A22" s="148" t="s">
        <v>69</v>
      </c>
      <c r="B22" s="149">
        <v>0.22484715652373899</v>
      </c>
      <c r="C22" s="149">
        <v>0.22749517039679101</v>
      </c>
      <c r="D22" s="149">
        <v>0.178236159663336</v>
      </c>
      <c r="E22" s="149">
        <v>0.168679346066862</v>
      </c>
      <c r="F22" s="149">
        <v>0.24768226923483999</v>
      </c>
      <c r="G22" s="149">
        <v>0.198169217123292</v>
      </c>
      <c r="H22" s="149">
        <v>0.19234786659174399</v>
      </c>
      <c r="I22" s="149">
        <v>0.247065379283297</v>
      </c>
      <c r="J22" s="149">
        <v>0.22579364448522901</v>
      </c>
      <c r="K22" s="149">
        <v>0.24250765122606299</v>
      </c>
      <c r="L22" s="149">
        <v>0.25277378932254302</v>
      </c>
      <c r="M22" s="149">
        <v>0.34665236612419098</v>
      </c>
      <c r="N22" s="149">
        <v>0.22494894303358701</v>
      </c>
    </row>
    <row r="23" spans="1:14" ht="20.100000000000001" customHeight="1">
      <c r="A23" s="148" t="s">
        <v>70</v>
      </c>
      <c r="B23" s="149">
        <v>0.25929732598842198</v>
      </c>
      <c r="C23" s="150">
        <v>0.193081356699013</v>
      </c>
      <c r="D23" s="150">
        <v>0.23454886571943001</v>
      </c>
      <c r="E23" s="150">
        <v>0.21097280893473999</v>
      </c>
      <c r="F23" s="150">
        <v>0.222184107140731</v>
      </c>
      <c r="G23" s="150">
        <v>0.211682814212242</v>
      </c>
      <c r="H23" s="150">
        <v>0.19722891142676</v>
      </c>
      <c r="I23" s="150">
        <v>0.220355606441999</v>
      </c>
      <c r="J23" s="150">
        <v>0.23415484199468001</v>
      </c>
      <c r="K23" s="150">
        <v>0.248990688177364</v>
      </c>
      <c r="L23" s="150">
        <v>0.29553858489010798</v>
      </c>
      <c r="M23" s="150">
        <v>0.29662104459628102</v>
      </c>
      <c r="N23" s="158">
        <v>0.23484291855995301</v>
      </c>
    </row>
    <row r="24" spans="1:14" ht="18.75">
      <c r="A24" s="148" t="s">
        <v>71</v>
      </c>
      <c r="B24" s="149">
        <v>0.24359089034187101</v>
      </c>
      <c r="C24" s="150">
        <v>0.257521105561897</v>
      </c>
      <c r="D24" s="150">
        <v>0.24943464641371499</v>
      </c>
      <c r="E24" s="150">
        <v>0.215135905968658</v>
      </c>
      <c r="F24" s="150">
        <v>0.20516300219620101</v>
      </c>
      <c r="G24" s="150">
        <v>0.21917141517493599</v>
      </c>
      <c r="H24" s="150">
        <v>0.21234379810648901</v>
      </c>
      <c r="I24" s="150">
        <v>0.23284718909701599</v>
      </c>
      <c r="J24" s="150">
        <v>0.26637997674729502</v>
      </c>
      <c r="K24" s="150">
        <v>0.26978267312031401</v>
      </c>
      <c r="L24" s="150">
        <v>0.25685914580367097</v>
      </c>
      <c r="M24" s="150">
        <v>0.22</v>
      </c>
      <c r="N24" s="158">
        <v>0.23899999999999999</v>
      </c>
    </row>
    <row r="25" spans="1:14" ht="18.75">
      <c r="A25" s="148" t="s">
        <v>72</v>
      </c>
      <c r="B25" s="149">
        <v>0.18838030702091799</v>
      </c>
      <c r="C25" s="150">
        <v>0.20098213169429999</v>
      </c>
      <c r="D25" s="150">
        <v>0.14490605396983999</v>
      </c>
      <c r="E25" s="150">
        <v>0.16934050725800601</v>
      </c>
      <c r="F25" s="150">
        <v>0.18930687062325699</v>
      </c>
      <c r="G25" s="150">
        <v>0.17739610449528001</v>
      </c>
      <c r="H25" s="150">
        <v>0.228107474127238</v>
      </c>
      <c r="I25" s="150">
        <v>0.27612990857248398</v>
      </c>
      <c r="J25" s="150">
        <v>0.24930549083384501</v>
      </c>
      <c r="K25" s="150">
        <v>0.248952925916196</v>
      </c>
      <c r="L25" s="150">
        <v>0.29015387283472899</v>
      </c>
      <c r="M25" s="150">
        <v>0.30298602248770201</v>
      </c>
      <c r="N25" s="158">
        <v>0.22216230581948301</v>
      </c>
    </row>
    <row r="26" spans="1:14" ht="18.75">
      <c r="A26" s="148" t="s">
        <v>73</v>
      </c>
      <c r="B26" s="149">
        <v>0.216359154929577</v>
      </c>
      <c r="C26" s="150">
        <v>0.19563311068702299</v>
      </c>
      <c r="D26" s="150">
        <v>0.19286981843097001</v>
      </c>
      <c r="E26" s="150">
        <v>0.16708261695448001</v>
      </c>
      <c r="F26" s="150">
        <v>0.175030735880948</v>
      </c>
      <c r="G26" s="150">
        <v>0.197343395958057</v>
      </c>
      <c r="H26" s="150">
        <v>0.210175680595591</v>
      </c>
      <c r="I26" s="150">
        <v>0.25476149505895601</v>
      </c>
      <c r="J26" s="150">
        <v>0.30193516677747301</v>
      </c>
      <c r="K26" s="150">
        <v>0.29240533422196602</v>
      </c>
      <c r="L26" s="150">
        <v>0.25608789884135902</v>
      </c>
      <c r="M26" s="150">
        <v>0.38244122369097999</v>
      </c>
      <c r="N26" s="158">
        <v>0.236843802668948</v>
      </c>
    </row>
    <row r="27" spans="1:14" ht="18.75">
      <c r="A27" s="148" t="s">
        <v>74</v>
      </c>
      <c r="B27" s="149">
        <v>0.233625844961413</v>
      </c>
      <c r="C27" s="150">
        <v>0.20385407266901201</v>
      </c>
      <c r="D27" s="150">
        <v>0.189938585211263</v>
      </c>
      <c r="E27" s="150">
        <v>0.19606636163138999</v>
      </c>
      <c r="F27" s="150">
        <v>0.19714681103953299</v>
      </c>
      <c r="G27" s="150">
        <v>0.22737697579117699</v>
      </c>
      <c r="H27" s="150">
        <v>0.23450058649720101</v>
      </c>
      <c r="I27" s="150">
        <v>0.27153179862986898</v>
      </c>
      <c r="J27" s="150">
        <v>0.28825431445613098</v>
      </c>
      <c r="K27" s="150">
        <v>0.31290936464920199</v>
      </c>
      <c r="L27" s="150">
        <v>0.23017415730337101</v>
      </c>
      <c r="M27" s="150">
        <v>0.24783532317826301</v>
      </c>
      <c r="N27" s="158">
        <v>0.236101183001485</v>
      </c>
    </row>
    <row r="28" spans="1:14" ht="18.75">
      <c r="A28" s="148" t="s">
        <v>75</v>
      </c>
      <c r="B28" s="149">
        <v>0.172891846034293</v>
      </c>
      <c r="C28" s="150">
        <v>0.187081753353978</v>
      </c>
      <c r="D28" s="150">
        <v>0.17479186210131301</v>
      </c>
      <c r="E28" s="150">
        <v>0.19993612264452301</v>
      </c>
      <c r="F28" s="150">
        <v>0.17362962962962999</v>
      </c>
      <c r="G28" s="150">
        <v>0.187130663164806</v>
      </c>
      <c r="H28" s="150">
        <v>0.220823101493695</v>
      </c>
      <c r="I28" s="150">
        <v>0.18234100135317999</v>
      </c>
      <c r="J28" s="150">
        <v>0.206213724820758</v>
      </c>
      <c r="K28" s="150">
        <v>0.20779577271479499</v>
      </c>
      <c r="L28" s="150">
        <v>0.20122699386503101</v>
      </c>
      <c r="M28" s="150">
        <v>0.241013824884793</v>
      </c>
      <c r="N28" s="158">
        <v>0.196239691338399</v>
      </c>
    </row>
    <row r="29" spans="1:14">
      <c r="J29" s="159"/>
      <c r="K29" s="159"/>
      <c r="L29" s="159"/>
    </row>
  </sheetData>
  <mergeCells count="1">
    <mergeCell ref="L2:M2"/>
  </mergeCells>
  <pageMargins left="0.69930555555555596" right="0.69930555555555596" top="0.75" bottom="0.75" header="0.3" footer="0.3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Q83"/>
  <sheetViews>
    <sheetView topLeftCell="A73" workbookViewId="0">
      <selection activeCell="J8" sqref="J8"/>
    </sheetView>
  </sheetViews>
  <sheetFormatPr defaultColWidth="9.140625" defaultRowHeight="15"/>
  <cols>
    <col min="2" max="2" width="17.140625" customWidth="1"/>
    <col min="3" max="6" width="11.7109375" customWidth="1"/>
    <col min="7" max="7" width="12.42578125" customWidth="1"/>
    <col min="8" max="8" width="10.140625" customWidth="1"/>
    <col min="9" max="14" width="11.7109375" customWidth="1"/>
    <col min="15" max="15" width="12.7109375" customWidth="1"/>
  </cols>
  <sheetData>
    <row r="2" spans="2:16" ht="21">
      <c r="B2" s="21"/>
      <c r="C2" s="334" t="s">
        <v>170</v>
      </c>
      <c r="D2" s="334"/>
      <c r="E2" s="334"/>
      <c r="F2" s="334"/>
      <c r="G2" s="334"/>
      <c r="H2" s="21"/>
      <c r="I2" s="21"/>
    </row>
    <row r="3" spans="2:16">
      <c r="B3" s="274" t="s">
        <v>76</v>
      </c>
      <c r="C3" s="21"/>
      <c r="D3" s="21"/>
      <c r="E3" s="21"/>
      <c r="F3" s="21"/>
      <c r="G3" s="21"/>
      <c r="H3" s="21"/>
      <c r="I3" s="21"/>
    </row>
    <row r="4" spans="2:16">
      <c r="B4" s="275" t="s">
        <v>155</v>
      </c>
      <c r="C4" s="41" t="s">
        <v>52</v>
      </c>
      <c r="D4" s="41" t="s">
        <v>53</v>
      </c>
      <c r="E4" s="41" t="s">
        <v>54</v>
      </c>
      <c r="F4" s="41" t="s">
        <v>55</v>
      </c>
      <c r="G4" s="41" t="s">
        <v>56</v>
      </c>
      <c r="H4" s="41" t="s">
        <v>57</v>
      </c>
      <c r="I4" s="124" t="s">
        <v>58</v>
      </c>
      <c r="J4" s="124" t="s">
        <v>78</v>
      </c>
      <c r="K4" s="124" t="s">
        <v>60</v>
      </c>
      <c r="L4" s="125" t="s">
        <v>61</v>
      </c>
      <c r="M4" s="125" t="s">
        <v>62</v>
      </c>
      <c r="N4" s="125" t="s">
        <v>79</v>
      </c>
      <c r="O4" s="41" t="s">
        <v>10</v>
      </c>
      <c r="P4" s="126" t="s">
        <v>80</v>
      </c>
    </row>
    <row r="5" spans="2:16">
      <c r="B5" s="41" t="s">
        <v>81</v>
      </c>
      <c r="C5" s="26">
        <f>C22+C39+C55</f>
        <v>1897.17</v>
      </c>
      <c r="D5" s="26">
        <f t="shared" ref="D5:N5" si="0">D22+D39+D55</f>
        <v>2181.0045725533</v>
      </c>
      <c r="E5" s="26">
        <f t="shared" si="0"/>
        <v>2916.1210000000001</v>
      </c>
      <c r="F5" s="26">
        <f>F22+F39+F55</f>
        <v>2504.322540616</v>
      </c>
      <c r="G5" s="26">
        <f>G22+G39+G55</f>
        <v>2198.1116717899999</v>
      </c>
      <c r="H5" s="26">
        <f t="shared" si="0"/>
        <v>2408.9426002520004</v>
      </c>
      <c r="I5" s="26">
        <f>I22+I39+I55</f>
        <v>4795.1760246849999</v>
      </c>
      <c r="J5" s="26">
        <f>J22+J39+J55</f>
        <v>5879.2662192686003</v>
      </c>
      <c r="K5" s="26">
        <f t="shared" si="0"/>
        <v>2357.8457395189998</v>
      </c>
      <c r="L5" s="26" t="e">
        <f>L22+L39+L55</f>
        <v>#REF!</v>
      </c>
      <c r="M5" s="26" t="e">
        <f t="shared" si="0"/>
        <v>#REF!</v>
      </c>
      <c r="N5" s="26" t="e">
        <f t="shared" si="0"/>
        <v>#REF!</v>
      </c>
      <c r="O5" s="38" t="e">
        <f>SUM(C5:N5)</f>
        <v>#REF!</v>
      </c>
    </row>
    <row r="6" spans="2:16">
      <c r="B6" s="41" t="s">
        <v>82</v>
      </c>
      <c r="C6" s="26">
        <f>C23+C40+C56</f>
        <v>714.25450000000001</v>
      </c>
      <c r="D6" s="26">
        <f t="shared" ref="D6:N6" si="1">D23+D40+D56</f>
        <v>751.71600000000001</v>
      </c>
      <c r="E6" s="26">
        <f t="shared" si="1"/>
        <v>984.58399999999995</v>
      </c>
      <c r="F6" s="26">
        <f t="shared" si="1"/>
        <v>964.95500000000004</v>
      </c>
      <c r="G6" s="26">
        <f>G23+G40+G56</f>
        <v>1045.55</v>
      </c>
      <c r="H6" s="26">
        <f t="shared" si="1"/>
        <v>780.51149999999996</v>
      </c>
      <c r="I6" s="26">
        <f>I23+I40+I56</f>
        <v>1047.6780000000001</v>
      </c>
      <c r="J6" s="26">
        <f t="shared" si="1"/>
        <v>1277.788</v>
      </c>
      <c r="K6" s="26">
        <f t="shared" si="1"/>
        <v>556.92599999999993</v>
      </c>
      <c r="L6" s="26" t="e">
        <f t="shared" si="1"/>
        <v>#REF!</v>
      </c>
      <c r="M6" s="26" t="e">
        <f t="shared" si="1"/>
        <v>#REF!</v>
      </c>
      <c r="N6" s="26" t="e">
        <f t="shared" si="1"/>
        <v>#REF!</v>
      </c>
      <c r="O6" s="38" t="e">
        <f>SUM(C6:N6)</f>
        <v>#REF!</v>
      </c>
    </row>
    <row r="7" spans="2:16">
      <c r="B7" s="41" t="s">
        <v>83</v>
      </c>
      <c r="C7" s="122">
        <f>C6/C5*100</f>
        <v>37.648418433772406</v>
      </c>
      <c r="D7" s="122">
        <f t="shared" ref="D7:K7" si="2">D6/D5*100</f>
        <v>34.466502705217479</v>
      </c>
      <c r="E7" s="122">
        <f t="shared" si="2"/>
        <v>33.763482379503458</v>
      </c>
      <c r="F7" s="122">
        <f t="shared" si="2"/>
        <v>38.531578275162815</v>
      </c>
      <c r="G7" s="122">
        <f t="shared" si="2"/>
        <v>47.565827224263437</v>
      </c>
      <c r="H7" s="122">
        <f t="shared" si="2"/>
        <v>32.400585216034223</v>
      </c>
      <c r="I7" s="122">
        <f t="shared" ref="I7:J7" si="3">I6/I5*100</f>
        <v>21.848582713265944</v>
      </c>
      <c r="J7" s="122">
        <f t="shared" si="3"/>
        <v>21.733800653765275</v>
      </c>
      <c r="K7" s="122">
        <f t="shared" si="2"/>
        <v>23.620120293094864</v>
      </c>
      <c r="L7" s="122" t="e">
        <f t="shared" ref="L7:M7" si="4">L6/L5*100</f>
        <v>#REF!</v>
      </c>
      <c r="M7" s="122" t="e">
        <f t="shared" si="4"/>
        <v>#REF!</v>
      </c>
      <c r="N7" s="122" t="e">
        <f t="shared" ref="N7" si="5">N6/N5*100</f>
        <v>#REF!</v>
      </c>
      <c r="O7" s="122" t="e">
        <f>SUM(C7:N7)</f>
        <v>#REF!</v>
      </c>
    </row>
    <row r="8" spans="2:16">
      <c r="B8" s="21"/>
      <c r="C8" s="123"/>
      <c r="D8" s="123"/>
      <c r="E8" s="123"/>
      <c r="F8" s="123"/>
      <c r="G8" s="123"/>
      <c r="H8" s="123"/>
      <c r="I8" s="21"/>
    </row>
    <row r="9" spans="2:16">
      <c r="B9" s="21"/>
      <c r="C9" s="123"/>
      <c r="D9" s="123"/>
      <c r="E9" s="123"/>
      <c r="F9" s="123"/>
      <c r="G9" s="123"/>
      <c r="H9" s="123"/>
      <c r="I9" s="21"/>
    </row>
    <row r="10" spans="2:16">
      <c r="B10" s="21"/>
      <c r="C10" s="123"/>
      <c r="D10" s="123"/>
      <c r="E10" s="123"/>
      <c r="F10" s="123"/>
      <c r="G10" s="123"/>
      <c r="H10" s="123"/>
      <c r="I10" s="21"/>
    </row>
    <row r="11" spans="2:16">
      <c r="B11" s="21"/>
      <c r="C11" s="123"/>
      <c r="D11" s="123"/>
      <c r="E11" s="123"/>
      <c r="F11" s="123"/>
      <c r="G11" s="123"/>
      <c r="H11" s="123"/>
      <c r="I11" s="21"/>
    </row>
    <row r="12" spans="2:16">
      <c r="B12" s="21"/>
      <c r="C12" s="123"/>
      <c r="D12" s="123"/>
      <c r="E12" s="123"/>
      <c r="F12" s="123"/>
      <c r="G12" s="123"/>
      <c r="H12" s="123"/>
      <c r="I12" s="21"/>
    </row>
    <row r="13" spans="2:16">
      <c r="B13" s="21"/>
      <c r="C13" s="123"/>
      <c r="D13" s="123"/>
      <c r="E13" s="123"/>
      <c r="F13" s="123"/>
      <c r="G13" s="123"/>
      <c r="H13" s="123"/>
      <c r="I13" s="21"/>
    </row>
    <row r="14" spans="2:16">
      <c r="B14" s="21"/>
      <c r="C14" s="123"/>
      <c r="D14" s="123"/>
      <c r="E14" s="123"/>
      <c r="F14" s="123"/>
      <c r="G14" s="123"/>
      <c r="H14" s="123"/>
      <c r="I14" s="21"/>
    </row>
    <row r="15" spans="2:16">
      <c r="B15" s="21"/>
      <c r="C15" s="123"/>
      <c r="D15" s="123"/>
      <c r="E15" s="123"/>
      <c r="F15" s="123"/>
      <c r="G15" s="123"/>
      <c r="H15" s="123"/>
      <c r="I15" s="21"/>
    </row>
    <row r="16" spans="2:16">
      <c r="B16" s="21"/>
      <c r="C16" s="123"/>
      <c r="D16" s="123"/>
      <c r="E16" s="123"/>
      <c r="F16" s="123"/>
      <c r="G16" s="123"/>
      <c r="H16" s="123"/>
      <c r="I16" s="21"/>
    </row>
    <row r="20" spans="2:16">
      <c r="B20" s="234" t="s">
        <v>84</v>
      </c>
      <c r="C20" s="21"/>
      <c r="D20" s="21"/>
      <c r="E20" s="21"/>
      <c r="F20" s="21"/>
      <c r="G20" s="21"/>
      <c r="H20" s="21"/>
      <c r="I20" s="21"/>
    </row>
    <row r="21" spans="2:16">
      <c r="B21" s="41" t="s">
        <v>85</v>
      </c>
      <c r="C21" s="233" t="s">
        <v>52</v>
      </c>
      <c r="D21" s="233" t="s">
        <v>53</v>
      </c>
      <c r="E21" s="233" t="s">
        <v>54</v>
      </c>
      <c r="F21" s="233" t="s">
        <v>55</v>
      </c>
      <c r="G21" s="233" t="s">
        <v>56</v>
      </c>
      <c r="H21" s="233" t="s">
        <v>57</v>
      </c>
      <c r="I21" s="233" t="s">
        <v>58</v>
      </c>
      <c r="J21" s="125" t="s">
        <v>78</v>
      </c>
      <c r="K21" s="125" t="s">
        <v>60</v>
      </c>
      <c r="L21" s="125" t="s">
        <v>61</v>
      </c>
      <c r="M21" s="125" t="s">
        <v>62</v>
      </c>
      <c r="N21" s="125" t="s">
        <v>79</v>
      </c>
      <c r="O21" s="233" t="s">
        <v>10</v>
      </c>
      <c r="P21" s="126" t="s">
        <v>80</v>
      </c>
    </row>
    <row r="22" spans="2:16">
      <c r="B22" s="232" t="s">
        <v>86</v>
      </c>
      <c r="C22" s="26">
        <f>'PLANT 1'!AQ6/1000</f>
        <v>1490.8219999999999</v>
      </c>
      <c r="D22" s="26">
        <f>'PLANT 1'!AQ16/1000</f>
        <v>1955.3209999999999</v>
      </c>
      <c r="E22" s="26">
        <f>'PLANT 1'!AQ26/1000</f>
        <v>2599.3069999999998</v>
      </c>
      <c r="F22" s="26">
        <f>'PLANT 1'!AQ36/1000</f>
        <v>2180.6370000000002</v>
      </c>
      <c r="G22" s="26">
        <f>'PLANT 1'!AR46/1000</f>
        <v>1992.777</v>
      </c>
      <c r="H22" s="26">
        <f>'PLANT 1'!AQ56/1000</f>
        <v>2181.8560000000002</v>
      </c>
      <c r="I22" s="26">
        <f>'PLANT 1'!AQ66/1000</f>
        <v>2519.569</v>
      </c>
      <c r="J22" s="26">
        <f>'PLANT 1'!AQ76/1000</f>
        <v>2905.91</v>
      </c>
      <c r="K22" s="26">
        <f>'PLANT 1'!AQ86/1000</f>
        <v>1235.346</v>
      </c>
      <c r="L22" s="26">
        <f>'PLANT 1'!AR96/1000</f>
        <v>0</v>
      </c>
      <c r="M22" s="26" t="e">
        <f>'PLANT 1'!AQ105/1000</f>
        <v>#REF!</v>
      </c>
      <c r="N22" s="26" t="e">
        <f>'PLANT 1'!AQ114/1000</f>
        <v>#REF!</v>
      </c>
      <c r="O22" s="26" t="e">
        <f>SUM(C22:N22)</f>
        <v>#REF!</v>
      </c>
    </row>
    <row r="23" spans="2:16">
      <c r="B23" s="41" t="s">
        <v>82</v>
      </c>
      <c r="C23" s="26">
        <f>'PLANT 1'!AQ8/1000</f>
        <v>640.71550000000002</v>
      </c>
      <c r="D23" s="26">
        <f>Total!C6/1000</f>
        <v>692.79600000000005</v>
      </c>
      <c r="E23" s="26">
        <f>Total!D6/1000</f>
        <v>886.65599999999995</v>
      </c>
      <c r="F23" s="26">
        <f>Total!E6/1000</f>
        <v>853.14800000000002</v>
      </c>
      <c r="G23" s="26">
        <f>Total!F6/1000</f>
        <v>967.673</v>
      </c>
      <c r="H23" s="26">
        <f>Total!G6/1000</f>
        <v>713.29049999999995</v>
      </c>
      <c r="I23" s="26">
        <f>Total!H6/1000</f>
        <v>763.05150000000003</v>
      </c>
      <c r="J23" s="26">
        <f>Total!I6/1000</f>
        <v>964.20600000000002</v>
      </c>
      <c r="K23" s="26">
        <f>Total!J6/1000</f>
        <v>404.28</v>
      </c>
      <c r="L23" s="26" t="e">
        <f>Total!K6/1000</f>
        <v>#REF!</v>
      </c>
      <c r="M23" s="26" t="e">
        <f>Total!L6/1000</f>
        <v>#REF!</v>
      </c>
      <c r="N23" s="26" t="e">
        <f>Total!M6/1000</f>
        <v>#REF!</v>
      </c>
      <c r="O23" s="38" t="e">
        <f>SUM(C23:N23)</f>
        <v>#REF!</v>
      </c>
    </row>
    <row r="24" spans="2:16">
      <c r="B24" s="41" t="s">
        <v>83</v>
      </c>
      <c r="C24" s="122">
        <f>C23/C22*100</f>
        <v>42.977330626996384</v>
      </c>
      <c r="D24" s="122">
        <f t="shared" ref="D24:O24" si="6">D23/D22*100</f>
        <v>35.431317926826338</v>
      </c>
      <c r="E24" s="122">
        <f t="shared" si="6"/>
        <v>34.111245805131908</v>
      </c>
      <c r="F24" s="122">
        <f t="shared" si="6"/>
        <v>39.123797312436686</v>
      </c>
      <c r="G24" s="122">
        <f t="shared" si="6"/>
        <v>48.559020903994778</v>
      </c>
      <c r="H24" s="122">
        <f t="shared" si="6"/>
        <v>32.6919145901471</v>
      </c>
      <c r="I24" s="122">
        <f t="shared" si="6"/>
        <v>30.285001125192444</v>
      </c>
      <c r="J24" s="122">
        <f t="shared" si="6"/>
        <v>33.18086244928439</v>
      </c>
      <c r="K24" s="122">
        <f t="shared" si="6"/>
        <v>32.726054077157329</v>
      </c>
      <c r="L24" s="122" t="e">
        <f t="shared" ref="L24:M24" si="7">L23/L22*100</f>
        <v>#REF!</v>
      </c>
      <c r="M24" s="122" t="e">
        <f t="shared" si="7"/>
        <v>#REF!</v>
      </c>
      <c r="N24" s="122" t="e">
        <f t="shared" ref="N24" si="8">N23/N22*100</f>
        <v>#REF!</v>
      </c>
      <c r="O24" s="122" t="e">
        <f t="shared" si="6"/>
        <v>#REF!</v>
      </c>
    </row>
    <row r="25" spans="2:16">
      <c r="B25" s="21"/>
      <c r="C25" s="123"/>
      <c r="D25" s="123"/>
      <c r="E25" s="123"/>
      <c r="F25" s="123"/>
      <c r="G25" s="123"/>
      <c r="H25" s="123"/>
      <c r="I25" s="21"/>
    </row>
    <row r="26" spans="2:16">
      <c r="B26" s="21"/>
      <c r="C26" s="123"/>
      <c r="D26" s="123"/>
      <c r="E26" s="123"/>
      <c r="F26" s="123"/>
      <c r="G26" s="123"/>
      <c r="H26" s="123"/>
      <c r="I26" s="21"/>
    </row>
    <row r="27" spans="2:16">
      <c r="B27" s="21"/>
      <c r="C27" s="123"/>
      <c r="D27" s="123"/>
      <c r="E27" s="123"/>
      <c r="F27" s="123"/>
      <c r="G27" s="123"/>
      <c r="H27" s="123"/>
      <c r="I27" s="21"/>
    </row>
    <row r="28" spans="2:16">
      <c r="B28" s="21"/>
      <c r="C28" s="123"/>
      <c r="D28" s="123"/>
      <c r="E28" s="123"/>
      <c r="F28" s="123"/>
      <c r="G28" s="123"/>
      <c r="H28" s="123"/>
      <c r="I28" s="21"/>
    </row>
    <row r="34" spans="2:16">
      <c r="B34" s="21"/>
      <c r="C34" s="123"/>
      <c r="D34" s="123"/>
      <c r="E34" s="123"/>
      <c r="F34" s="123"/>
      <c r="G34" s="123"/>
      <c r="H34" s="123"/>
      <c r="I34" s="21"/>
    </row>
    <row r="35" spans="2:16">
      <c r="B35" s="21"/>
      <c r="C35" s="123"/>
      <c r="D35" s="123"/>
      <c r="E35" s="123"/>
      <c r="F35" s="123"/>
      <c r="G35" s="123"/>
      <c r="H35" s="123"/>
      <c r="I35" s="21"/>
    </row>
    <row r="36" spans="2:16">
      <c r="B36" s="21"/>
      <c r="C36" s="123"/>
      <c r="D36" s="123"/>
      <c r="E36" s="123"/>
      <c r="F36" s="123"/>
      <c r="G36" s="123"/>
      <c r="H36" s="123"/>
      <c r="I36" s="21"/>
    </row>
    <row r="37" spans="2:16">
      <c r="B37" s="234" t="s">
        <v>87</v>
      </c>
      <c r="C37" s="123"/>
      <c r="D37" s="123"/>
      <c r="E37" s="123"/>
      <c r="F37" s="123"/>
      <c r="G37" s="123"/>
      <c r="H37" s="123"/>
      <c r="I37" s="21"/>
    </row>
    <row r="38" spans="2:16">
      <c r="B38" s="41" t="s">
        <v>88</v>
      </c>
      <c r="C38" s="41" t="s">
        <v>52</v>
      </c>
      <c r="D38" s="41" t="s">
        <v>53</v>
      </c>
      <c r="E38" s="41" t="s">
        <v>54</v>
      </c>
      <c r="F38" s="41" t="s">
        <v>55</v>
      </c>
      <c r="G38" s="41" t="s">
        <v>56</v>
      </c>
      <c r="H38" s="41" t="s">
        <v>57</v>
      </c>
      <c r="I38" s="41" t="s">
        <v>58</v>
      </c>
      <c r="J38" s="125" t="s">
        <v>59</v>
      </c>
      <c r="K38" s="125" t="s">
        <v>60</v>
      </c>
      <c r="L38" s="125" t="s">
        <v>61</v>
      </c>
      <c r="M38" s="125" t="s">
        <v>62</v>
      </c>
      <c r="N38" s="125" t="s">
        <v>79</v>
      </c>
      <c r="O38" s="41" t="s">
        <v>10</v>
      </c>
      <c r="P38" s="126" t="s">
        <v>80</v>
      </c>
    </row>
    <row r="39" spans="2:16">
      <c r="B39" s="41" t="s">
        <v>89</v>
      </c>
      <c r="C39" s="26">
        <f>'PLANT 2'!AT6/1000</f>
        <v>267.13200000000001</v>
      </c>
      <c r="D39" s="26">
        <f>'PLANT 2'!AS15/1000</f>
        <v>169.74557255330001</v>
      </c>
      <c r="E39" s="26">
        <f>'PLANT 2'!AS24/1000</f>
        <v>226.51900000000001</v>
      </c>
      <c r="F39" s="26">
        <f>'PLANT 2'!AS33/1000</f>
        <v>235.53254061600001</v>
      </c>
      <c r="G39" s="26">
        <f>'PLANT 2'!AS42/1000</f>
        <v>205.33467178999999</v>
      </c>
      <c r="H39" s="26">
        <f>'PLANT 2'!AS51/1000</f>
        <v>227.08660025200001</v>
      </c>
      <c r="I39" s="26">
        <f>'PLANT 2'!AS60/1000</f>
        <v>182.108024685</v>
      </c>
      <c r="J39" s="26">
        <f>'PLANT 2'!AS69/1000</f>
        <v>307.0772192686</v>
      </c>
      <c r="K39" s="26">
        <f>'PLANT 2'!AS78/1000</f>
        <v>161.06073951900001</v>
      </c>
      <c r="L39" s="127" t="e">
        <f>'PLANT 2'!AT87/1000</f>
        <v>#REF!</v>
      </c>
      <c r="M39" s="127" t="e">
        <f>'PLANT 2'!AS96/1000</f>
        <v>#REF!</v>
      </c>
      <c r="N39" s="127" t="e">
        <f>'PLANT 2'!AS105/1000</f>
        <v>#REF!</v>
      </c>
      <c r="O39" s="38" t="e">
        <f>SUM(C39:N39)</f>
        <v>#REF!</v>
      </c>
    </row>
    <row r="40" spans="2:16">
      <c r="B40" s="41" t="s">
        <v>82</v>
      </c>
      <c r="C40" s="26">
        <f>Total!B10/1000</f>
        <v>52.581000000000003</v>
      </c>
      <c r="D40" s="26">
        <f>Total!C10/1000</f>
        <v>54.43</v>
      </c>
      <c r="E40" s="26">
        <f>Total!D10/1000</f>
        <v>72.671000000000006</v>
      </c>
      <c r="F40" s="26">
        <f>Total!E10/1000</f>
        <v>90.641000000000005</v>
      </c>
      <c r="G40" s="26">
        <f>Total!F10/1000</f>
        <v>77.876999999999995</v>
      </c>
      <c r="H40" s="26">
        <f>Total!G10/1000</f>
        <v>55.088000000000001</v>
      </c>
      <c r="I40" s="26">
        <f>Total!H10/1000</f>
        <v>38.845999999999997</v>
      </c>
      <c r="J40" s="26">
        <f>Total!I10/1000</f>
        <v>61.162999999999997</v>
      </c>
      <c r="K40" s="26">
        <f>Total!J10/1000</f>
        <v>39.811999999999998</v>
      </c>
      <c r="L40" s="26" t="e">
        <f>Total!K10/1000</f>
        <v>#REF!</v>
      </c>
      <c r="M40" s="26" t="e">
        <f>Total!L10/1000</f>
        <v>#REF!</v>
      </c>
      <c r="N40" s="26" t="e">
        <f>Total!M10/1000</f>
        <v>#REF!</v>
      </c>
      <c r="O40" s="38" t="e">
        <f>SUM(C40:N40)</f>
        <v>#REF!</v>
      </c>
    </row>
    <row r="41" spans="2:16">
      <c r="B41" s="41" t="s">
        <v>83</v>
      </c>
      <c r="C41" s="122">
        <f>C40/C39*100</f>
        <v>19.683527244957549</v>
      </c>
      <c r="D41" s="122">
        <f t="shared" ref="D41:O41" si="9">D40/D39*100</f>
        <v>32.065637519299074</v>
      </c>
      <c r="E41" s="122">
        <f t="shared" si="9"/>
        <v>32.081635536091895</v>
      </c>
      <c r="F41" s="122">
        <f t="shared" si="9"/>
        <v>38.483429832218548</v>
      </c>
      <c r="G41" s="122">
        <f t="shared" si="9"/>
        <v>37.926863164953659</v>
      </c>
      <c r="H41" s="122">
        <f t="shared" si="9"/>
        <v>24.258586785335797</v>
      </c>
      <c r="I41" s="122">
        <f t="shared" si="9"/>
        <v>21.331295019642091</v>
      </c>
      <c r="J41" s="122">
        <f t="shared" si="9"/>
        <v>19.917791409495866</v>
      </c>
      <c r="K41" s="122">
        <f t="shared" si="9"/>
        <v>24.718624860966479</v>
      </c>
      <c r="L41" s="122" t="e">
        <f t="shared" ref="L41:M41" si="10">L40/L39*100</f>
        <v>#REF!</v>
      </c>
      <c r="M41" s="122" t="e">
        <f t="shared" si="10"/>
        <v>#REF!</v>
      </c>
      <c r="N41" s="122" t="e">
        <f t="shared" ref="N41" si="11">N40/N39*100</f>
        <v>#REF!</v>
      </c>
      <c r="O41" s="122" t="e">
        <f t="shared" si="9"/>
        <v>#REF!</v>
      </c>
    </row>
    <row r="53" spans="2:16">
      <c r="B53" s="234" t="s">
        <v>90</v>
      </c>
      <c r="C53" s="21"/>
      <c r="D53" s="21"/>
      <c r="E53" s="21"/>
      <c r="F53" s="21"/>
      <c r="G53" s="21"/>
      <c r="H53" s="21"/>
      <c r="I53" s="21"/>
    </row>
    <row r="54" spans="2:16">
      <c r="B54" s="41" t="s">
        <v>90</v>
      </c>
      <c r="C54" s="235" t="s">
        <v>52</v>
      </c>
      <c r="D54" s="235" t="s">
        <v>53</v>
      </c>
      <c r="E54" s="235" t="s">
        <v>54</v>
      </c>
      <c r="F54" s="235" t="s">
        <v>55</v>
      </c>
      <c r="G54" s="235" t="s">
        <v>56</v>
      </c>
      <c r="H54" s="232" t="s">
        <v>57</v>
      </c>
      <c r="I54" s="233" t="s">
        <v>58</v>
      </c>
      <c r="J54" s="124" t="s">
        <v>59</v>
      </c>
      <c r="K54" s="124" t="s">
        <v>60</v>
      </c>
      <c r="L54" s="125" t="s">
        <v>61</v>
      </c>
      <c r="M54" s="125" t="s">
        <v>62</v>
      </c>
      <c r="N54" s="125" t="s">
        <v>79</v>
      </c>
      <c r="O54" s="41" t="s">
        <v>10</v>
      </c>
      <c r="P54" s="126" t="s">
        <v>80</v>
      </c>
    </row>
    <row r="55" spans="2:16">
      <c r="B55" s="41" t="s">
        <v>86</v>
      </c>
      <c r="C55" s="26">
        <f>'PLANT 3'!AJ6/1000</f>
        <v>139.21600000000001</v>
      </c>
      <c r="D55" s="26">
        <f>'PLANT 3'!AH15/1000</f>
        <v>55.938000000000002</v>
      </c>
      <c r="E55" s="26">
        <f>'PLANT 3'!AJ24/1000</f>
        <v>90.295000000000002</v>
      </c>
      <c r="F55" s="26">
        <f>'PLANT 3'!AI33/1000</f>
        <v>88.153000000000006</v>
      </c>
      <c r="G55" s="26">
        <f>'PLANT 3'!AJ42/1000</f>
        <v>0</v>
      </c>
      <c r="H55" s="26">
        <f>'PLANT 3'!AK42/1000</f>
        <v>0</v>
      </c>
      <c r="I55" s="26">
        <f>'PLANT 3'!AP60/1000</f>
        <v>2093.4989999999998</v>
      </c>
      <c r="J55" s="26">
        <f>'PLANT 3'!AP69/1000</f>
        <v>2666.279</v>
      </c>
      <c r="K55" s="26">
        <f>'PLANT 3'!AP78/1000</f>
        <v>961.43899999999996</v>
      </c>
      <c r="L55" s="26" t="e">
        <f>'PLANT 3'!AQ87/1000</f>
        <v>#REF!</v>
      </c>
      <c r="M55" s="26" t="e">
        <f>'PLANT 3'!AP96/1000</f>
        <v>#REF!</v>
      </c>
      <c r="N55" s="26" t="e">
        <f>'PLANT 3'!AP105/1000</f>
        <v>#REF!</v>
      </c>
      <c r="O55" s="38" t="e">
        <f>SUM(C55:N55)</f>
        <v>#REF!</v>
      </c>
    </row>
    <row r="56" spans="2:16">
      <c r="B56" s="41" t="s">
        <v>82</v>
      </c>
      <c r="C56" s="26">
        <f>'PLANT 3'!AJ8/1000</f>
        <v>20.957999999999998</v>
      </c>
      <c r="D56" s="26">
        <f>'PLANT 3'!AH17/1000</f>
        <v>4.49</v>
      </c>
      <c r="E56" s="26">
        <f>'PLANT 3'!AJ26/1000</f>
        <v>25.257000000000001</v>
      </c>
      <c r="F56" s="26">
        <f>'PLANT 3'!AI35/1000</f>
        <v>21.166</v>
      </c>
      <c r="G56" s="26">
        <f>'PLANT 3'!AJ44/1000</f>
        <v>0</v>
      </c>
      <c r="H56" s="26">
        <f>'PLANT 3'!AI53/1000</f>
        <v>12.132999999999999</v>
      </c>
      <c r="I56" s="26">
        <f>Total!H14/1000</f>
        <v>245.78049999999999</v>
      </c>
      <c r="J56" s="26">
        <f>Total!I14/1000</f>
        <v>252.41900000000001</v>
      </c>
      <c r="K56" s="26">
        <f>Total!J14/1000</f>
        <v>112.834</v>
      </c>
      <c r="L56" s="26" t="e">
        <f>Total!K14/1000</f>
        <v>#REF!</v>
      </c>
      <c r="M56" s="26" t="e">
        <f>Total!L14/1000</f>
        <v>#REF!</v>
      </c>
      <c r="N56" s="26" t="e">
        <f>Total!M14/1000</f>
        <v>#REF!</v>
      </c>
      <c r="O56" s="38" t="e">
        <f>SUM(C56:N56)</f>
        <v>#REF!</v>
      </c>
    </row>
    <row r="57" spans="2:16">
      <c r="B57" s="41" t="s">
        <v>83</v>
      </c>
      <c r="C57" s="122">
        <f>C56/C55*100</f>
        <v>15.054304102976667</v>
      </c>
      <c r="D57" s="122">
        <f t="shared" ref="D57:O57" si="12">D56/D55*100</f>
        <v>8.0267438950266357</v>
      </c>
      <c r="E57" s="122">
        <f t="shared" si="12"/>
        <v>27.971648485519683</v>
      </c>
      <c r="F57" s="122">
        <f t="shared" si="12"/>
        <v>24.010527151656778</v>
      </c>
      <c r="G57" s="122" t="e">
        <f t="shared" si="12"/>
        <v>#DIV/0!</v>
      </c>
      <c r="H57" s="122" t="e">
        <f t="shared" si="12"/>
        <v>#DIV/0!</v>
      </c>
      <c r="I57" s="122">
        <f t="shared" si="12"/>
        <v>11.740177568749735</v>
      </c>
      <c r="J57" s="122">
        <f t="shared" si="12"/>
        <v>9.4670887780311066</v>
      </c>
      <c r="K57" s="122">
        <f t="shared" si="12"/>
        <v>11.735949966664553</v>
      </c>
      <c r="L57" s="122" t="e">
        <f t="shared" ref="L57:M57" si="13">L56/L55*100</f>
        <v>#REF!</v>
      </c>
      <c r="M57" s="122" t="e">
        <f t="shared" si="13"/>
        <v>#REF!</v>
      </c>
      <c r="N57" s="122" t="e">
        <f t="shared" ref="N57" si="14">N56/N55*100</f>
        <v>#REF!</v>
      </c>
      <c r="O57" s="122" t="e">
        <f t="shared" si="12"/>
        <v>#REF!</v>
      </c>
    </row>
    <row r="71" spans="2:17" s="254" customFormat="1"/>
    <row r="72" spans="2:17" ht="18.75">
      <c r="B72" s="21"/>
      <c r="C72" s="335" t="s">
        <v>154</v>
      </c>
      <c r="D72" s="335"/>
      <c r="E72" s="335"/>
      <c r="F72" s="335"/>
      <c r="G72" s="335"/>
      <c r="H72" s="21"/>
      <c r="I72" s="21"/>
    </row>
    <row r="76" spans="2:17">
      <c r="B76" s="41" t="s">
        <v>77</v>
      </c>
      <c r="C76" s="41" t="s">
        <v>52</v>
      </c>
      <c r="D76" s="41" t="s">
        <v>53</v>
      </c>
      <c r="E76" s="41" t="s">
        <v>54</v>
      </c>
      <c r="F76" s="41" t="s">
        <v>55</v>
      </c>
      <c r="G76" s="41" t="s">
        <v>56</v>
      </c>
      <c r="H76" s="41" t="s">
        <v>57</v>
      </c>
      <c r="I76" s="41" t="s">
        <v>58</v>
      </c>
      <c r="J76" s="124" t="s">
        <v>78</v>
      </c>
      <c r="K76" s="124" t="s">
        <v>60</v>
      </c>
      <c r="L76" s="125" t="s">
        <v>61</v>
      </c>
      <c r="M76" s="125" t="s">
        <v>62</v>
      </c>
      <c r="N76" s="125" t="s">
        <v>79</v>
      </c>
      <c r="O76" s="267" t="s">
        <v>10</v>
      </c>
      <c r="P76" s="126" t="s">
        <v>80</v>
      </c>
    </row>
    <row r="77" spans="2:17">
      <c r="B77" s="255" t="s">
        <v>151</v>
      </c>
      <c r="C77" s="258">
        <v>1022.1049999999999</v>
      </c>
      <c r="D77" s="258">
        <v>1039.2318</v>
      </c>
      <c r="E77" s="258">
        <v>1260.2484999999999</v>
      </c>
      <c r="F77" s="258">
        <v>1214.0825</v>
      </c>
      <c r="G77" s="258">
        <v>1141.4704999999999</v>
      </c>
      <c r="H77" s="258">
        <v>1112.26685</v>
      </c>
      <c r="I77" s="258">
        <v>1403.4295000000002</v>
      </c>
      <c r="J77" s="256">
        <v>1468.7565</v>
      </c>
      <c r="K77" s="256">
        <v>1457.6268</v>
      </c>
      <c r="L77" s="257">
        <v>1965.3009999999999</v>
      </c>
      <c r="M77" s="257">
        <v>1355.3690000000001</v>
      </c>
      <c r="N77" s="257">
        <v>839.34500000000003</v>
      </c>
      <c r="O77" s="26">
        <f>SUM(C77:N77)</f>
        <v>15279.232949999998</v>
      </c>
      <c r="P77" s="126"/>
    </row>
    <row r="78" spans="2:17">
      <c r="B78" s="128" t="s">
        <v>91</v>
      </c>
      <c r="C78" s="129">
        <v>1071</v>
      </c>
      <c r="D78" s="129">
        <v>1144</v>
      </c>
      <c r="E78" s="129">
        <v>1339</v>
      </c>
      <c r="F78" s="129">
        <v>1118</v>
      </c>
      <c r="G78" s="129">
        <v>1031</v>
      </c>
      <c r="H78" s="129">
        <v>1523</v>
      </c>
      <c r="I78" s="129">
        <v>1901</v>
      </c>
      <c r="J78" s="129">
        <v>1920</v>
      </c>
      <c r="K78" s="129">
        <v>2195</v>
      </c>
      <c r="L78" s="129">
        <v>2213</v>
      </c>
      <c r="M78" s="129">
        <v>1516</v>
      </c>
      <c r="N78" s="129">
        <v>1375</v>
      </c>
      <c r="O78" s="45">
        <f>SUM(C78:N78)</f>
        <v>18346</v>
      </c>
      <c r="P78" s="121"/>
      <c r="Q78" s="121"/>
    </row>
    <row r="79" spans="2:17">
      <c r="B79" s="128" t="s">
        <v>92</v>
      </c>
      <c r="C79" s="45">
        <f>977370/1000</f>
        <v>977.37</v>
      </c>
      <c r="D79" s="45">
        <f>819093/1000</f>
        <v>819.09299999999996</v>
      </c>
      <c r="E79" s="45">
        <f>838444/1000</f>
        <v>838.44399999999996</v>
      </c>
      <c r="F79" s="45">
        <f>978228/1000</f>
        <v>978.22799999999995</v>
      </c>
      <c r="G79" s="45">
        <f>1230164.5/1000</f>
        <v>1230.1645000000001</v>
      </c>
      <c r="H79" s="45">
        <f>986755/1000</f>
        <v>986.755</v>
      </c>
      <c r="I79" s="45">
        <f>1253262/1000</f>
        <v>1253.2619999999999</v>
      </c>
      <c r="J79" s="45">
        <f>1412918/1000</f>
        <v>1412.9179999999999</v>
      </c>
      <c r="K79" s="45">
        <f>1565492/1000</f>
        <v>1565.492</v>
      </c>
      <c r="L79" s="45">
        <f>1578662/1000</f>
        <v>1578.662</v>
      </c>
      <c r="M79" s="45">
        <f>1297455/1000</f>
        <v>1297.4549999999999</v>
      </c>
      <c r="N79" s="45">
        <f>1084462/1000</f>
        <v>1084.462</v>
      </c>
      <c r="O79" s="45">
        <f>SUM(C79:N79)</f>
        <v>14022.3055</v>
      </c>
      <c r="P79" s="121"/>
      <c r="Q79" s="121"/>
    </row>
    <row r="80" spans="2:17">
      <c r="B80" s="263" t="s">
        <v>153</v>
      </c>
      <c r="C80" s="264">
        <f>C77-C78</f>
        <v>-48.895000000000095</v>
      </c>
      <c r="D80" s="264">
        <f t="shared" ref="D80:O80" si="15">D77-D78</f>
        <v>-104.76819999999998</v>
      </c>
      <c r="E80" s="264">
        <f t="shared" si="15"/>
        <v>-78.751500000000078</v>
      </c>
      <c r="F80" s="264">
        <f t="shared" si="15"/>
        <v>96.082499999999982</v>
      </c>
      <c r="G80" s="264">
        <f t="shared" si="15"/>
        <v>110.4704999999999</v>
      </c>
      <c r="H80" s="264">
        <f t="shared" si="15"/>
        <v>-410.73315000000002</v>
      </c>
      <c r="I80" s="264">
        <f t="shared" si="15"/>
        <v>-497.57049999999981</v>
      </c>
      <c r="J80" s="264">
        <f t="shared" si="15"/>
        <v>-451.24350000000004</v>
      </c>
      <c r="K80" s="264">
        <f t="shared" si="15"/>
        <v>-737.3732</v>
      </c>
      <c r="L80" s="264">
        <f t="shared" si="15"/>
        <v>-247.69900000000007</v>
      </c>
      <c r="M80" s="264">
        <f t="shared" si="15"/>
        <v>-160.63099999999986</v>
      </c>
      <c r="N80" s="264">
        <f t="shared" si="15"/>
        <v>-535.65499999999997</v>
      </c>
      <c r="O80" s="264">
        <f t="shared" si="15"/>
        <v>-3066.7670500000022</v>
      </c>
      <c r="P80" s="121"/>
      <c r="Q80" s="121"/>
    </row>
    <row r="81" spans="2:17">
      <c r="B81" s="265" t="s">
        <v>93</v>
      </c>
      <c r="C81" s="266">
        <f>((C77/C78)-1)*100</f>
        <v>-4.5653594771241863</v>
      </c>
      <c r="D81" s="266">
        <f t="shared" ref="D81:O81" si="16">((D77/D78)-1)*100</f>
        <v>-9.1580594405594411</v>
      </c>
      <c r="E81" s="266">
        <f t="shared" si="16"/>
        <v>-5.8813666915608742</v>
      </c>
      <c r="F81" s="266">
        <f t="shared" si="16"/>
        <v>8.5941413237924813</v>
      </c>
      <c r="G81" s="266">
        <f t="shared" si="16"/>
        <v>10.714888457807948</v>
      </c>
      <c r="H81" s="266">
        <f t="shared" si="16"/>
        <v>-26.968690085357849</v>
      </c>
      <c r="I81" s="266">
        <f t="shared" si="16"/>
        <v>-26.174145186743814</v>
      </c>
      <c r="J81" s="266">
        <f t="shared" si="16"/>
        <v>-23.502265625000007</v>
      </c>
      <c r="K81" s="266">
        <f t="shared" si="16"/>
        <v>-33.593312072892935</v>
      </c>
      <c r="L81" s="266">
        <f t="shared" si="16"/>
        <v>-11.192905558065981</v>
      </c>
      <c r="M81" s="266">
        <f t="shared" si="16"/>
        <v>-10.595712401055401</v>
      </c>
      <c r="N81" s="266">
        <f t="shared" si="16"/>
        <v>-38.956727272727278</v>
      </c>
      <c r="O81" s="266">
        <f t="shared" si="16"/>
        <v>-16.716270849231453</v>
      </c>
      <c r="P81" s="121"/>
      <c r="Q81" s="121"/>
    </row>
    <row r="82" spans="2:17">
      <c r="B82" s="259" t="s">
        <v>152</v>
      </c>
      <c r="C82" s="260">
        <f>C78-C79</f>
        <v>93.63</v>
      </c>
      <c r="D82" s="260">
        <f t="shared" ref="D82:N82" si="17">D78-D79</f>
        <v>324.90700000000004</v>
      </c>
      <c r="E82" s="260">
        <f t="shared" si="17"/>
        <v>500.55600000000004</v>
      </c>
      <c r="F82" s="260">
        <f t="shared" si="17"/>
        <v>139.77200000000005</v>
      </c>
      <c r="G82" s="260">
        <f t="shared" si="17"/>
        <v>-199.16450000000009</v>
      </c>
      <c r="H82" s="260">
        <f t="shared" si="17"/>
        <v>536.245</v>
      </c>
      <c r="I82" s="260">
        <f t="shared" si="17"/>
        <v>647.73800000000006</v>
      </c>
      <c r="J82" s="260">
        <f t="shared" si="17"/>
        <v>507.08200000000011</v>
      </c>
      <c r="K82" s="260">
        <f t="shared" si="17"/>
        <v>629.50800000000004</v>
      </c>
      <c r="L82" s="260">
        <f t="shared" si="17"/>
        <v>634.33799999999997</v>
      </c>
      <c r="M82" s="260">
        <f t="shared" si="17"/>
        <v>218.54500000000007</v>
      </c>
      <c r="N82" s="260">
        <f t="shared" si="17"/>
        <v>290.53800000000001</v>
      </c>
      <c r="O82" s="260">
        <f>SUM(C82:N82)</f>
        <v>4323.6944999999996</v>
      </c>
    </row>
    <row r="83" spans="2:17">
      <c r="B83" s="261" t="s">
        <v>93</v>
      </c>
      <c r="C83" s="262">
        <f>((C78/C79)-1)*100</f>
        <v>9.5797906626968299</v>
      </c>
      <c r="D83" s="262">
        <f t="shared" ref="D83:O83" si="18">((D78/D79)-1)*100</f>
        <v>39.666680096155147</v>
      </c>
      <c r="E83" s="262">
        <f t="shared" si="18"/>
        <v>59.700588232487803</v>
      </c>
      <c r="F83" s="262">
        <f t="shared" si="18"/>
        <v>14.288284530804685</v>
      </c>
      <c r="G83" s="262">
        <f t="shared" si="18"/>
        <v>-16.190070514959586</v>
      </c>
      <c r="H83" s="262">
        <f t="shared" si="18"/>
        <v>54.344290122674835</v>
      </c>
      <c r="I83" s="262">
        <f t="shared" si="18"/>
        <v>51.684165003008161</v>
      </c>
      <c r="J83" s="262">
        <f t="shared" si="18"/>
        <v>35.8889900192368</v>
      </c>
      <c r="K83" s="262">
        <f t="shared" si="18"/>
        <v>40.211511780322098</v>
      </c>
      <c r="L83" s="262">
        <f t="shared" si="18"/>
        <v>40.182002227202517</v>
      </c>
      <c r="M83" s="262">
        <f t="shared" si="18"/>
        <v>16.844129468844791</v>
      </c>
      <c r="N83" s="262">
        <f t="shared" si="18"/>
        <v>26.790980227984008</v>
      </c>
      <c r="O83" s="262">
        <f t="shared" si="18"/>
        <v>30.834405226729643</v>
      </c>
    </row>
  </sheetData>
  <sheetProtection selectLockedCells="1" selectUnlockedCells="1"/>
  <mergeCells count="2">
    <mergeCell ref="C2:G2"/>
    <mergeCell ref="C72:G7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workbookViewId="0">
      <selection activeCell="F23" sqref="F23"/>
    </sheetView>
  </sheetViews>
  <sheetFormatPr defaultColWidth="9.140625" defaultRowHeight="15"/>
  <cols>
    <col min="1" max="1" width="11" customWidth="1"/>
    <col min="2" max="2" width="17.85546875" customWidth="1"/>
    <col min="3" max="3" width="14.5703125" bestFit="1" customWidth="1"/>
    <col min="4" max="4" width="15" customWidth="1"/>
    <col min="5" max="6" width="14.5703125" bestFit="1" customWidth="1"/>
    <col min="7" max="7" width="15.5703125" bestFit="1" customWidth="1"/>
    <col min="8" max="9" width="12.5703125" bestFit="1" customWidth="1"/>
    <col min="10" max="10" width="12" bestFit="1" customWidth="1"/>
    <col min="11" max="11" width="12.28515625" customWidth="1"/>
    <col min="12" max="12" width="14.42578125" customWidth="1"/>
    <col min="13" max="13" width="14.140625" customWidth="1"/>
    <col min="14" max="14" width="11" customWidth="1"/>
    <col min="15" max="15" width="13.42578125" bestFit="1" customWidth="1"/>
  </cols>
  <sheetData>
    <row r="1" spans="1:16" ht="26.25">
      <c r="A1" s="341" t="s">
        <v>175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21"/>
    </row>
    <row r="2" spans="1:16" ht="20.25">
      <c r="A2" s="342" t="s">
        <v>94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21"/>
    </row>
    <row r="3" spans="1:16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>
      <c r="A4" s="336" t="s">
        <v>95</v>
      </c>
      <c r="B4" s="337"/>
      <c r="C4" s="51" t="s">
        <v>52</v>
      </c>
      <c r="D4" s="52" t="s">
        <v>53</v>
      </c>
      <c r="E4" s="52" t="s">
        <v>54</v>
      </c>
      <c r="F4" s="52" t="s">
        <v>55</v>
      </c>
      <c r="G4" s="52" t="s">
        <v>56</v>
      </c>
      <c r="H4" s="52" t="s">
        <v>57</v>
      </c>
      <c r="I4" s="52" t="s">
        <v>58</v>
      </c>
      <c r="J4" s="52" t="s">
        <v>59</v>
      </c>
      <c r="K4" s="52" t="s">
        <v>60</v>
      </c>
      <c r="L4" s="52" t="s">
        <v>61</v>
      </c>
      <c r="M4" s="52" t="s">
        <v>62</v>
      </c>
      <c r="N4" s="52" t="s">
        <v>63</v>
      </c>
      <c r="O4" s="74" t="s">
        <v>10</v>
      </c>
      <c r="P4" s="75" t="s">
        <v>96</v>
      </c>
    </row>
    <row r="5" spans="1:16">
      <c r="A5" s="338" t="s">
        <v>97</v>
      </c>
      <c r="B5" s="53" t="s">
        <v>98</v>
      </c>
      <c r="C5" s="54">
        <f>'PLANT 1'!AO12/1000</f>
        <v>522.58799999999997</v>
      </c>
      <c r="D5" s="54">
        <f>'PLANT 1'!AO22/1000</f>
        <v>84.016000000000005</v>
      </c>
      <c r="E5" s="54">
        <f>'PLANT 1'!AO32/1000</f>
        <v>756.952</v>
      </c>
      <c r="F5" s="54">
        <f>'PLANT 1'!AO42/1000</f>
        <v>736.54600000000005</v>
      </c>
      <c r="G5" s="54">
        <f>'PLANT 1'!AQ52/1000</f>
        <v>837.34500000000003</v>
      </c>
      <c r="H5" s="54">
        <f>'PLANT 1'!AO62/1000</f>
        <v>603.74149999999997</v>
      </c>
      <c r="I5" s="54">
        <f>'PLANT 1'!AO72/1000</f>
        <v>575.28200000000004</v>
      </c>
      <c r="J5" s="54">
        <f>'PLANT 1'!AO82/1000</f>
        <v>792.05799999999999</v>
      </c>
      <c r="K5" s="54">
        <f>'PLANT 1'!AO92/1000</f>
        <v>431.79300000000001</v>
      </c>
      <c r="L5" s="54">
        <f>'PLANT 1'!AP102/1000</f>
        <v>0</v>
      </c>
      <c r="M5" s="54">
        <f>'PLANT 1'!AO111/1000</f>
        <v>0</v>
      </c>
      <c r="N5" s="54">
        <v>0</v>
      </c>
      <c r="O5" s="77">
        <f>SUM(C5:N5)</f>
        <v>5340.3215</v>
      </c>
      <c r="P5" s="75">
        <f>O5/12</f>
        <v>445.02679166666667</v>
      </c>
    </row>
    <row r="6" spans="1:16">
      <c r="A6" s="339"/>
      <c r="B6" s="55" t="s">
        <v>93</v>
      </c>
      <c r="C6" s="56">
        <f>C5/C9</f>
        <v>0.81563189902538635</v>
      </c>
      <c r="D6" s="56">
        <f t="shared" ref="D6:H6" si="0">D5/D9</f>
        <v>0.12127090803064684</v>
      </c>
      <c r="E6" s="56">
        <f t="shared" si="0"/>
        <v>0.85371553341995099</v>
      </c>
      <c r="F6" s="56">
        <f t="shared" si="0"/>
        <v>0.86332734765831953</v>
      </c>
      <c r="G6" s="56">
        <f>G5/G9</f>
        <v>0.8653181394954701</v>
      </c>
      <c r="H6" s="56">
        <f t="shared" si="0"/>
        <v>0.84641741338206522</v>
      </c>
      <c r="I6" s="56">
        <f>I5/I9</f>
        <v>0.75392290035469434</v>
      </c>
      <c r="J6" s="56">
        <f>J5/J9</f>
        <v>0.82146138895630183</v>
      </c>
      <c r="K6" s="56">
        <f t="shared" ref="K6:N6" si="1">K5/K9</f>
        <v>0.77698202907521807</v>
      </c>
      <c r="L6" s="56" t="e">
        <f t="shared" si="1"/>
        <v>#DIV/0!</v>
      </c>
      <c r="M6" s="56" t="e">
        <f t="shared" si="1"/>
        <v>#DIV/0!</v>
      </c>
      <c r="N6" s="56" t="e">
        <f t="shared" si="1"/>
        <v>#DIV/0!</v>
      </c>
      <c r="O6" s="78">
        <f t="shared" ref="O6" si="2">O5/O9</f>
        <v>0.75886293934399962</v>
      </c>
      <c r="P6" s="75">
        <f>O6/12</f>
        <v>6.3238578278666635E-2</v>
      </c>
    </row>
    <row r="7" spans="1:16">
      <c r="A7" s="339"/>
      <c r="B7" s="55" t="s">
        <v>99</v>
      </c>
      <c r="C7" s="57">
        <f>'PLANT 1'!AO11/1000</f>
        <v>118.1275</v>
      </c>
      <c r="D7" s="57">
        <f>'PLANT 1'!AO21/1000</f>
        <v>608.78</v>
      </c>
      <c r="E7" s="57">
        <f>'PLANT 1'!AO31/1000</f>
        <v>129.70400000000001</v>
      </c>
      <c r="F7" s="57">
        <f>'PLANT 1'!AO41/1000</f>
        <v>116.602</v>
      </c>
      <c r="G7" s="57">
        <f>'PLANT 1'!AQ51/1000</f>
        <v>130.328</v>
      </c>
      <c r="H7" s="57">
        <f>'PLANT 1'!AO61/1000</f>
        <v>109.54900000000001</v>
      </c>
      <c r="I7" s="57">
        <f>'PLANT 1'!AO71/1000</f>
        <v>187.76949999999999</v>
      </c>
      <c r="J7" s="57">
        <f>'PLANT 1'!AO81/1000</f>
        <v>172.148</v>
      </c>
      <c r="K7" s="57">
        <f>'PLANT 1'!AO91/1000</f>
        <v>123.938</v>
      </c>
      <c r="L7" s="57">
        <f>'PLANT 1'!AP101/1000</f>
        <v>0</v>
      </c>
      <c r="M7" s="57">
        <f>'PLANT 1'!AO110/1000</f>
        <v>0</v>
      </c>
      <c r="N7" s="57">
        <v>0</v>
      </c>
      <c r="O7" s="79">
        <f>SUM(C7:N7)</f>
        <v>1696.9460000000001</v>
      </c>
      <c r="P7" s="75">
        <f>O7/12</f>
        <v>141.41216666666668</v>
      </c>
    </row>
    <row r="8" spans="1:16">
      <c r="A8" s="339"/>
      <c r="B8" s="58" t="s">
        <v>93</v>
      </c>
      <c r="C8" s="59">
        <f t="shared" ref="C8:N8" si="3">C7/C9</f>
        <v>0.18436810097461354</v>
      </c>
      <c r="D8" s="59">
        <f t="shared" si="3"/>
        <v>0.87872909196935323</v>
      </c>
      <c r="E8" s="59">
        <f t="shared" si="3"/>
        <v>0.14628446658004909</v>
      </c>
      <c r="F8" s="59">
        <f t="shared" si="3"/>
        <v>0.13667265234168047</v>
      </c>
      <c r="G8" s="59">
        <f t="shared" si="3"/>
        <v>0.13468186050452993</v>
      </c>
      <c r="H8" s="59">
        <f t="shared" si="3"/>
        <v>0.15358258661793478</v>
      </c>
      <c r="I8" s="59">
        <f t="shared" si="3"/>
        <v>0.24607709964530569</v>
      </c>
      <c r="J8" s="59">
        <f t="shared" si="3"/>
        <v>0.17853861104369811</v>
      </c>
      <c r="K8" s="59">
        <f t="shared" si="3"/>
        <v>0.22301797092478196</v>
      </c>
      <c r="L8" s="59" t="e">
        <f t="shared" si="3"/>
        <v>#DIV/0!</v>
      </c>
      <c r="M8" s="59" t="e">
        <f t="shared" si="3"/>
        <v>#DIV/0!</v>
      </c>
      <c r="N8" s="59" t="e">
        <f t="shared" si="3"/>
        <v>#DIV/0!</v>
      </c>
      <c r="O8" s="59">
        <f>O7/O9</f>
        <v>0.24113706065600038</v>
      </c>
      <c r="P8" s="75">
        <f>O8/12</f>
        <v>2.0094755054666697E-2</v>
      </c>
    </row>
    <row r="9" spans="1:16">
      <c r="A9" s="339"/>
      <c r="B9" s="60" t="s">
        <v>76</v>
      </c>
      <c r="C9" s="61">
        <f>SUM(C7,C5)</f>
        <v>640.71550000000002</v>
      </c>
      <c r="D9" s="61">
        <f t="shared" ref="D9:N9" si="4">D5+D7</f>
        <v>692.79599999999994</v>
      </c>
      <c r="E9" s="61">
        <f t="shared" si="4"/>
        <v>886.65599999999995</v>
      </c>
      <c r="F9" s="61">
        <f>F5+F7</f>
        <v>853.14800000000002</v>
      </c>
      <c r="G9" s="61">
        <f t="shared" si="4"/>
        <v>967.673</v>
      </c>
      <c r="H9" s="61">
        <f t="shared" si="4"/>
        <v>713.29049999999995</v>
      </c>
      <c r="I9" s="61">
        <f t="shared" si="4"/>
        <v>763.05150000000003</v>
      </c>
      <c r="J9" s="61">
        <f t="shared" si="4"/>
        <v>964.20600000000002</v>
      </c>
      <c r="K9" s="61">
        <f t="shared" si="4"/>
        <v>555.73099999999999</v>
      </c>
      <c r="L9" s="61">
        <f t="shared" si="4"/>
        <v>0</v>
      </c>
      <c r="M9" s="61">
        <f t="shared" si="4"/>
        <v>0</v>
      </c>
      <c r="N9" s="61">
        <f t="shared" si="4"/>
        <v>0</v>
      </c>
      <c r="O9" s="119">
        <f>SUM(C9:N9)</f>
        <v>7037.2674999999999</v>
      </c>
      <c r="P9" s="75">
        <f>O9/12</f>
        <v>586.43895833333329</v>
      </c>
    </row>
    <row r="10" spans="1:16">
      <c r="A10" s="336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37"/>
      <c r="P10" s="21"/>
    </row>
    <row r="11" spans="1:16">
      <c r="A11" s="338" t="s">
        <v>100</v>
      </c>
      <c r="B11" s="118" t="s">
        <v>98</v>
      </c>
      <c r="C11" s="62">
        <f t="shared" ref="C11:H11" si="5">C5*C17</f>
        <v>66243.254879999993</v>
      </c>
      <c r="D11" s="62">
        <f t="shared" si="5"/>
        <v>9724.011840000001</v>
      </c>
      <c r="E11" s="62">
        <f t="shared" si="5"/>
        <v>91780.43</v>
      </c>
      <c r="F11" s="62">
        <f t="shared" si="5"/>
        <v>85247.834040000002</v>
      </c>
      <c r="G11" s="62">
        <f t="shared" si="5"/>
        <v>115377.76755</v>
      </c>
      <c r="H11" s="62">
        <f t="shared" si="5"/>
        <v>86516.156950000004</v>
      </c>
      <c r="I11" s="62">
        <f t="shared" ref="I11:N11" si="6">I5*I17</f>
        <v>88777.518240000005</v>
      </c>
      <c r="J11" s="62">
        <f t="shared" si="6"/>
        <v>109137.67181999999</v>
      </c>
      <c r="K11" s="62">
        <f>K5*K17</f>
        <v>0</v>
      </c>
      <c r="L11" s="62">
        <f t="shared" si="6"/>
        <v>0</v>
      </c>
      <c r="M11" s="62">
        <f t="shared" si="6"/>
        <v>0</v>
      </c>
      <c r="N11" s="62">
        <f t="shared" si="6"/>
        <v>0</v>
      </c>
      <c r="O11" s="81">
        <f>SUM(C11:N11)</f>
        <v>652804.64531999989</v>
      </c>
      <c r="P11" s="75">
        <f>O11/12</f>
        <v>54400.387109999989</v>
      </c>
    </row>
    <row r="12" spans="1:16">
      <c r="A12" s="339"/>
      <c r="B12" s="58" t="s">
        <v>99</v>
      </c>
      <c r="C12" s="63">
        <f t="shared" ref="C12:F12" si="7">C7*C20</f>
        <v>11847.006975</v>
      </c>
      <c r="D12" s="63">
        <f t="shared" si="7"/>
        <v>53030.825799999999</v>
      </c>
      <c r="E12" s="63">
        <f t="shared" si="7"/>
        <v>12426.940240000002</v>
      </c>
      <c r="F12" s="63">
        <f t="shared" si="7"/>
        <v>10202.675000000001</v>
      </c>
      <c r="G12" s="63">
        <f>G7*G20</f>
        <v>14646.26064</v>
      </c>
      <c r="H12" s="63">
        <f>H7*H20</f>
        <v>12638.668130000002</v>
      </c>
      <c r="I12" s="63">
        <f>I7*I20</f>
        <v>24877.581055000002</v>
      </c>
      <c r="J12" s="63">
        <f t="shared" ref="J12:N12" si="8">J7*J20</f>
        <v>18493.859640000002</v>
      </c>
      <c r="K12" s="63">
        <f t="shared" si="8"/>
        <v>0</v>
      </c>
      <c r="L12" s="63">
        <f>L7*L20</f>
        <v>0</v>
      </c>
      <c r="M12" s="63">
        <f t="shared" si="8"/>
        <v>0</v>
      </c>
      <c r="N12" s="63">
        <f t="shared" si="8"/>
        <v>0</v>
      </c>
      <c r="O12" s="82">
        <f>SUM(C12:N12)</f>
        <v>158163.81748</v>
      </c>
      <c r="P12" s="75">
        <f>O12/12</f>
        <v>13180.318123333333</v>
      </c>
    </row>
    <row r="13" spans="1:16" ht="15.75" thickBot="1">
      <c r="A13" s="340"/>
      <c r="B13" s="64" t="s">
        <v>10</v>
      </c>
      <c r="C13" s="65">
        <f>C12+C11</f>
        <v>78090.26185499999</v>
      </c>
      <c r="D13" s="65">
        <f>D11+D12</f>
        <v>62754.837639999998</v>
      </c>
      <c r="E13" s="65">
        <f t="shared" ref="E13:N13" si="9">E11+E12</f>
        <v>104207.37023999999</v>
      </c>
      <c r="F13" s="65">
        <f>F11+F12</f>
        <v>95450.509040000004</v>
      </c>
      <c r="G13" s="65">
        <f t="shared" si="9"/>
        <v>130024.02819000001</v>
      </c>
      <c r="H13" s="65">
        <f t="shared" si="9"/>
        <v>99154.82508000001</v>
      </c>
      <c r="I13" s="65">
        <f t="shared" si="9"/>
        <v>113655.09929500001</v>
      </c>
      <c r="J13" s="65">
        <f t="shared" si="9"/>
        <v>127631.53146</v>
      </c>
      <c r="K13" s="65">
        <f t="shared" si="9"/>
        <v>0</v>
      </c>
      <c r="L13" s="65">
        <f>L11+L12</f>
        <v>0</v>
      </c>
      <c r="M13" s="65">
        <f t="shared" si="9"/>
        <v>0</v>
      </c>
      <c r="N13" s="65">
        <f t="shared" si="9"/>
        <v>0</v>
      </c>
      <c r="O13" s="120">
        <f>SUM(O11:O12)</f>
        <v>810968.46279999986</v>
      </c>
      <c r="P13" s="75">
        <f>O13/12</f>
        <v>67580.705233333327</v>
      </c>
    </row>
    <row r="14" spans="1:16">
      <c r="E14" s="238"/>
      <c r="L14" s="254"/>
    </row>
    <row r="15" spans="1:16" ht="15.75" thickBot="1">
      <c r="B15" s="240"/>
      <c r="E15" s="238"/>
      <c r="I15" s="240"/>
      <c r="L15" s="240"/>
    </row>
    <row r="16" spans="1:16" ht="15.75" thickBot="1">
      <c r="A16" s="336">
        <v>2022</v>
      </c>
      <c r="B16" s="337"/>
      <c r="C16" s="66" t="s">
        <v>52</v>
      </c>
      <c r="D16" s="52" t="s">
        <v>53</v>
      </c>
      <c r="E16" s="52" t="s">
        <v>54</v>
      </c>
      <c r="F16" s="52" t="s">
        <v>55</v>
      </c>
      <c r="G16" s="52" t="s">
        <v>56</v>
      </c>
      <c r="H16" s="52" t="s">
        <v>57</v>
      </c>
      <c r="I16" s="52" t="s">
        <v>58</v>
      </c>
      <c r="J16" s="52" t="s">
        <v>59</v>
      </c>
      <c r="K16" s="52" t="s">
        <v>60</v>
      </c>
      <c r="L16" s="52" t="s">
        <v>61</v>
      </c>
      <c r="M16" s="52" t="s">
        <v>62</v>
      </c>
      <c r="N16" s="74" t="s">
        <v>63</v>
      </c>
      <c r="O16" s="74" t="s">
        <v>10</v>
      </c>
      <c r="P16" s="75" t="s">
        <v>96</v>
      </c>
    </row>
    <row r="17" spans="1:16" ht="15.75" thickBot="1">
      <c r="A17" s="67" t="s">
        <v>101</v>
      </c>
      <c r="B17" s="306" t="s">
        <v>102</v>
      </c>
      <c r="C17" s="308">
        <v>126.76</v>
      </c>
      <c r="D17" s="307">
        <v>115.74</v>
      </c>
      <c r="E17" s="69">
        <v>121.25</v>
      </c>
      <c r="F17" s="69">
        <v>115.74</v>
      </c>
      <c r="G17" s="70">
        <v>137.79</v>
      </c>
      <c r="H17" s="69">
        <v>143.30000000000001</v>
      </c>
      <c r="I17" s="108">
        <v>154.32</v>
      </c>
      <c r="J17" s="69">
        <v>137.79</v>
      </c>
      <c r="K17" s="69">
        <v>0</v>
      </c>
      <c r="L17" s="69">
        <v>0</v>
      </c>
      <c r="M17" s="69">
        <v>0</v>
      </c>
      <c r="N17" s="83"/>
      <c r="O17" s="73">
        <f>SUM(C17:N17)</f>
        <v>1052.6899999999998</v>
      </c>
      <c r="P17" s="75">
        <f>O17/12</f>
        <v>87.724166666666648</v>
      </c>
    </row>
    <row r="18" spans="1:16" ht="15.75" thickBot="1">
      <c r="A18" s="71"/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21"/>
    </row>
    <row r="19" spans="1:16">
      <c r="A19" s="336">
        <v>2022</v>
      </c>
      <c r="B19" s="337"/>
      <c r="C19" s="66" t="s">
        <v>52</v>
      </c>
      <c r="D19" s="52" t="s">
        <v>53</v>
      </c>
      <c r="E19" s="52" t="s">
        <v>54</v>
      </c>
      <c r="F19" s="52" t="s">
        <v>55</v>
      </c>
      <c r="G19" s="52" t="s">
        <v>56</v>
      </c>
      <c r="H19" s="52" t="s">
        <v>57</v>
      </c>
      <c r="I19" s="52" t="s">
        <v>58</v>
      </c>
      <c r="J19" s="52" t="s">
        <v>59</v>
      </c>
      <c r="K19" s="52" t="s">
        <v>60</v>
      </c>
      <c r="L19" s="52" t="s">
        <v>61</v>
      </c>
      <c r="M19" s="52" t="s">
        <v>62</v>
      </c>
      <c r="N19" s="74" t="s">
        <v>63</v>
      </c>
      <c r="O19" s="74" t="s">
        <v>10</v>
      </c>
      <c r="P19" s="75" t="s">
        <v>96</v>
      </c>
    </row>
    <row r="20" spans="1:16">
      <c r="A20" s="67" t="s">
        <v>101</v>
      </c>
      <c r="B20" s="68" t="s">
        <v>103</v>
      </c>
      <c r="C20" s="108">
        <v>100.29</v>
      </c>
      <c r="D20" s="69">
        <v>87.11</v>
      </c>
      <c r="E20" s="69">
        <v>95.81</v>
      </c>
      <c r="F20" s="69">
        <v>87.5</v>
      </c>
      <c r="G20" s="70">
        <v>112.38</v>
      </c>
      <c r="H20" s="69">
        <v>115.37</v>
      </c>
      <c r="I20" s="108">
        <v>132.49</v>
      </c>
      <c r="J20" s="69">
        <v>107.43</v>
      </c>
      <c r="K20" s="69">
        <v>0</v>
      </c>
      <c r="L20" s="69">
        <v>0</v>
      </c>
      <c r="M20" s="69">
        <v>0</v>
      </c>
      <c r="N20" s="83"/>
      <c r="O20" s="73">
        <f>SUM(C20:N20)</f>
        <v>838.38000000000011</v>
      </c>
      <c r="P20" s="75">
        <f>O20/12</f>
        <v>69.865000000000009</v>
      </c>
    </row>
    <row r="21" spans="1:16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72"/>
    </row>
    <row r="22" spans="1:16">
      <c r="K22" s="273"/>
    </row>
    <row r="23" spans="1:16">
      <c r="K23" s="240"/>
      <c r="M23" s="294"/>
    </row>
    <row r="24" spans="1:16">
      <c r="B24" s="237"/>
      <c r="C24" s="236"/>
      <c r="D24" s="236"/>
      <c r="E24" s="236"/>
      <c r="F24" s="236"/>
      <c r="G24" s="236"/>
      <c r="H24" s="236"/>
      <c r="K24" s="121"/>
    </row>
    <row r="25" spans="1:16">
      <c r="B25" s="237"/>
      <c r="C25" s="243"/>
      <c r="D25" s="236"/>
      <c r="E25" s="236"/>
      <c r="F25" s="236"/>
      <c r="G25" s="236"/>
      <c r="H25" s="236"/>
      <c r="I25" s="236"/>
      <c r="K25" s="160"/>
    </row>
    <row r="26" spans="1:16">
      <c r="K26" s="121"/>
    </row>
    <row r="27" spans="1:16">
      <c r="B27" s="184"/>
      <c r="C27" s="244"/>
      <c r="D27" s="244"/>
      <c r="E27" s="244"/>
      <c r="F27" s="244"/>
      <c r="G27" s="244"/>
      <c r="H27" s="244"/>
      <c r="I27" s="239"/>
    </row>
  </sheetData>
  <sheetProtection selectLockedCells="1" selectUnlockedCells="1"/>
  <mergeCells count="8">
    <mergeCell ref="A19:B19"/>
    <mergeCell ref="A5:A9"/>
    <mergeCell ref="A11:A13"/>
    <mergeCell ref="A1:O1"/>
    <mergeCell ref="A2:O2"/>
    <mergeCell ref="A4:B4"/>
    <mergeCell ref="A10:O10"/>
    <mergeCell ref="A16:B16"/>
  </mergeCells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I13" sqref="I13"/>
    </sheetView>
  </sheetViews>
  <sheetFormatPr defaultColWidth="9.140625" defaultRowHeight="15"/>
  <cols>
    <col min="1" max="1" width="11" customWidth="1"/>
    <col min="2" max="2" width="11.5703125" customWidth="1"/>
    <col min="3" max="5" width="10" customWidth="1"/>
    <col min="6" max="6" width="11" bestFit="1" customWidth="1"/>
    <col min="7" max="7" width="10.7109375" customWidth="1"/>
    <col min="8" max="8" width="11.28515625" customWidth="1"/>
    <col min="9" max="9" width="11" customWidth="1"/>
    <col min="10" max="14" width="10" customWidth="1"/>
    <col min="15" max="15" width="11" customWidth="1"/>
  </cols>
  <sheetData>
    <row r="1" spans="1:16" ht="26.25">
      <c r="A1" s="347" t="s">
        <v>175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21"/>
    </row>
    <row r="2" spans="1:16" ht="20.25">
      <c r="A2" s="348" t="s">
        <v>104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21"/>
    </row>
    <row r="3" spans="1:16" ht="2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21"/>
    </row>
    <row r="4" spans="1:16">
      <c r="A4" s="349" t="s">
        <v>95</v>
      </c>
      <c r="B4" s="350"/>
      <c r="C4" s="85" t="s">
        <v>52</v>
      </c>
      <c r="D4" s="85" t="s">
        <v>53</v>
      </c>
      <c r="E4" s="85" t="s">
        <v>54</v>
      </c>
      <c r="F4" s="85" t="s">
        <v>55</v>
      </c>
      <c r="G4" s="85" t="s">
        <v>56</v>
      </c>
      <c r="H4" s="85" t="s">
        <v>57</v>
      </c>
      <c r="I4" s="85" t="s">
        <v>58</v>
      </c>
      <c r="J4" s="85" t="s">
        <v>59</v>
      </c>
      <c r="K4" s="85" t="s">
        <v>60</v>
      </c>
      <c r="L4" s="85" t="s">
        <v>61</v>
      </c>
      <c r="M4" s="85" t="s">
        <v>62</v>
      </c>
      <c r="N4" s="85" t="s">
        <v>63</v>
      </c>
      <c r="O4" s="111" t="s">
        <v>10</v>
      </c>
      <c r="P4" s="112" t="s">
        <v>96</v>
      </c>
    </row>
    <row r="5" spans="1:16">
      <c r="A5" s="351" t="s">
        <v>97</v>
      </c>
      <c r="B5" s="86" t="s">
        <v>105</v>
      </c>
      <c r="C5" s="87">
        <f>'P2'!AH3</f>
        <v>24.363</v>
      </c>
      <c r="D5" s="87">
        <f>'P2'!AH12</f>
        <v>15.273999999999999</v>
      </c>
      <c r="E5" s="87">
        <f>'P2'!AH19</f>
        <v>29.768000000000001</v>
      </c>
      <c r="F5" s="87">
        <f>'P2'!AH27</f>
        <v>31.402000000000001</v>
      </c>
      <c r="G5" s="87">
        <f>'P2'!AH35</f>
        <v>22.398</v>
      </c>
      <c r="H5" s="87">
        <f>'P2'!AH43</f>
        <v>23.071000000000002</v>
      </c>
      <c r="I5" s="87">
        <f>'P2'!AH51</f>
        <v>20.02</v>
      </c>
      <c r="J5" s="87">
        <f>'P2'!AH59</f>
        <v>23.792000000000002</v>
      </c>
      <c r="K5" s="87">
        <f>'P2'!AH67</f>
        <v>19.553999999999998</v>
      </c>
      <c r="L5" s="87">
        <f>'P2'!AH74</f>
        <v>0</v>
      </c>
      <c r="M5" s="87">
        <f>'P2'!AH83</f>
        <v>0</v>
      </c>
      <c r="N5" s="87">
        <f>'P2'!AH91</f>
        <v>0</v>
      </c>
      <c r="O5" s="113">
        <f>SUM(C5:N5)</f>
        <v>209.64200000000002</v>
      </c>
      <c r="P5" s="112">
        <f>O5/12</f>
        <v>17.470166666666668</v>
      </c>
    </row>
    <row r="6" spans="1:16">
      <c r="A6" s="352"/>
      <c r="B6" s="88" t="s">
        <v>106</v>
      </c>
      <c r="C6" s="89">
        <f>'P2'!AH4</f>
        <v>28.218</v>
      </c>
      <c r="D6" s="89">
        <f>'P2'!AH13</f>
        <v>39.155999999999999</v>
      </c>
      <c r="E6" s="89">
        <f>'P2'!AH20</f>
        <v>42.902999999999999</v>
      </c>
      <c r="F6" s="89">
        <f>'P2'!AH28</f>
        <v>59.238999999999997</v>
      </c>
      <c r="G6" s="89">
        <f>'P2'!AH36</f>
        <v>55.478999999999999</v>
      </c>
      <c r="H6" s="89">
        <f>'P2'!AH44</f>
        <v>32.017000000000003</v>
      </c>
      <c r="I6" s="89">
        <f>'P2'!AH52</f>
        <v>18.826000000000001</v>
      </c>
      <c r="J6" s="89">
        <f>'P2'!AH60</f>
        <v>37.371000000000002</v>
      </c>
      <c r="K6" s="89">
        <f>'P2'!AH68</f>
        <v>20.257999999999999</v>
      </c>
      <c r="L6" s="89">
        <f>'P2'!AH75</f>
        <v>0</v>
      </c>
      <c r="M6" s="89">
        <f>'P2'!AH84</f>
        <v>0</v>
      </c>
      <c r="N6" s="89">
        <f>'P2'!AH92</f>
        <v>0</v>
      </c>
      <c r="O6" s="114">
        <f>SUM(C6:N6)</f>
        <v>333.46699999999998</v>
      </c>
      <c r="P6" s="112">
        <f>O6/12</f>
        <v>27.788916666666665</v>
      </c>
    </row>
    <row r="7" spans="1:16">
      <c r="A7" s="352"/>
      <c r="B7" s="90" t="s">
        <v>107</v>
      </c>
      <c r="C7" s="91">
        <f>'P2'!AH5</f>
        <v>0</v>
      </c>
      <c r="D7" s="91">
        <f>'P2'!AH14</f>
        <v>0</v>
      </c>
      <c r="E7" s="91">
        <f>'P2'!AH21</f>
        <v>0</v>
      </c>
      <c r="F7" s="91">
        <f>'P2'!AH29</f>
        <v>0</v>
      </c>
      <c r="G7" s="91">
        <f>'P2'!AH37</f>
        <v>0</v>
      </c>
      <c r="H7" s="91">
        <f>'P2'!AH45</f>
        <v>0</v>
      </c>
      <c r="I7" s="91">
        <f>'P2'!AH53</f>
        <v>0</v>
      </c>
      <c r="J7" s="91">
        <f>'P2'!AH61</f>
        <v>0</v>
      </c>
      <c r="K7" s="91">
        <f>'P2'!AH69</f>
        <v>0</v>
      </c>
      <c r="L7" s="91">
        <f>'P2'!AH76</f>
        <v>0</v>
      </c>
      <c r="M7" s="91">
        <f>'P2'!AH85</f>
        <v>0</v>
      </c>
      <c r="N7" s="91">
        <f>'P2'!AH93</f>
        <v>0</v>
      </c>
      <c r="O7" s="115">
        <f>SUM(C7:N7)</f>
        <v>0</v>
      </c>
      <c r="P7" s="112">
        <f>O7/12</f>
        <v>0</v>
      </c>
    </row>
    <row r="8" spans="1:16">
      <c r="A8" s="353"/>
      <c r="B8" s="92" t="s">
        <v>10</v>
      </c>
      <c r="C8" s="93">
        <f>C5+C6+C7</f>
        <v>52.581000000000003</v>
      </c>
      <c r="D8" s="93">
        <f t="shared" ref="D8:O8" si="0">D5+D6+D7</f>
        <v>54.43</v>
      </c>
      <c r="E8" s="93">
        <f t="shared" si="0"/>
        <v>72.670999999999992</v>
      </c>
      <c r="F8" s="93">
        <f t="shared" si="0"/>
        <v>90.640999999999991</v>
      </c>
      <c r="G8" s="93">
        <f t="shared" si="0"/>
        <v>77.876999999999995</v>
      </c>
      <c r="H8" s="93">
        <f t="shared" si="0"/>
        <v>55.088000000000008</v>
      </c>
      <c r="I8" s="93">
        <f>I5+I6+I7</f>
        <v>38.846000000000004</v>
      </c>
      <c r="J8" s="93">
        <f t="shared" si="0"/>
        <v>61.163000000000004</v>
      </c>
      <c r="K8" s="93">
        <f t="shared" si="0"/>
        <v>39.811999999999998</v>
      </c>
      <c r="L8" s="93">
        <f t="shared" si="0"/>
        <v>0</v>
      </c>
      <c r="M8" s="93">
        <f t="shared" si="0"/>
        <v>0</v>
      </c>
      <c r="N8" s="93">
        <f t="shared" si="0"/>
        <v>0</v>
      </c>
      <c r="O8" s="93">
        <f t="shared" si="0"/>
        <v>543.10900000000004</v>
      </c>
      <c r="P8" s="112">
        <f>O8/12</f>
        <v>45.259083333333336</v>
      </c>
    </row>
    <row r="9" spans="1:16">
      <c r="A9" s="351" t="s">
        <v>108</v>
      </c>
      <c r="B9" s="86" t="s">
        <v>105</v>
      </c>
      <c r="C9" s="62">
        <f>C5*C17</f>
        <v>268.55334899999997</v>
      </c>
      <c r="D9" s="62">
        <f t="shared" ref="D9:N9" si="1">D5*D17</f>
        <v>168.36530199999999</v>
      </c>
      <c r="E9" s="62">
        <f t="shared" si="1"/>
        <v>328.13266399999998</v>
      </c>
      <c r="F9" s="62">
        <f t="shared" si="1"/>
        <v>346.05004000000002</v>
      </c>
      <c r="G9" s="62">
        <f t="shared" si="1"/>
        <v>246.82595999999998</v>
      </c>
      <c r="H9" s="62">
        <f>H5*H17</f>
        <v>254.24242000000001</v>
      </c>
      <c r="I9" s="62">
        <f t="shared" si="1"/>
        <v>220.62039999999999</v>
      </c>
      <c r="J9" s="62">
        <f t="shared" si="1"/>
        <v>262.18783999999999</v>
      </c>
      <c r="K9" s="62">
        <f t="shared" si="1"/>
        <v>0</v>
      </c>
      <c r="L9" s="62">
        <f t="shared" si="1"/>
        <v>0</v>
      </c>
      <c r="M9" s="62">
        <f t="shared" si="1"/>
        <v>0</v>
      </c>
      <c r="N9" s="62">
        <f t="shared" si="1"/>
        <v>0</v>
      </c>
      <c r="O9" s="81">
        <f>SUM(C9:N9)</f>
        <v>2094.9779749999998</v>
      </c>
      <c r="P9" s="112">
        <f>O9/12</f>
        <v>174.58149791666665</v>
      </c>
    </row>
    <row r="10" spans="1:16">
      <c r="A10" s="352"/>
      <c r="B10" s="88" t="s">
        <v>106</v>
      </c>
      <c r="C10" s="63">
        <f>C6*C18</f>
        <v>4821.3274800000008</v>
      </c>
      <c r="D10" s="63">
        <f t="shared" ref="D10:N10" si="2">D6*D18</f>
        <v>7121.6932799999995</v>
      </c>
      <c r="E10" s="63">
        <f t="shared" si="2"/>
        <v>8275.9886999999999</v>
      </c>
      <c r="F10" s="63">
        <f t="shared" si="2"/>
        <v>11753.609989999999</v>
      </c>
      <c r="G10" s="63">
        <f t="shared" si="2"/>
        <v>11007.588389999999</v>
      </c>
      <c r="H10" s="63">
        <f t="shared" si="2"/>
        <v>6352.4929700000002</v>
      </c>
      <c r="I10" s="63">
        <f t="shared" si="2"/>
        <v>3942.9174400000002</v>
      </c>
      <c r="J10" s="63">
        <f t="shared" si="2"/>
        <v>8238.810660000001</v>
      </c>
      <c r="K10" s="63">
        <f t="shared" si="2"/>
        <v>0</v>
      </c>
      <c r="L10" s="63">
        <f t="shared" si="2"/>
        <v>0</v>
      </c>
      <c r="M10" s="63">
        <f t="shared" si="2"/>
        <v>0</v>
      </c>
      <c r="N10" s="63">
        <f t="shared" si="2"/>
        <v>0</v>
      </c>
      <c r="O10" s="82">
        <f>SUM(C10:N10)</f>
        <v>61514.428909999995</v>
      </c>
      <c r="P10" s="112">
        <f t="shared" ref="P10:P12" si="3">O10/12</f>
        <v>5126.2024091666663</v>
      </c>
    </row>
    <row r="11" spans="1:16">
      <c r="A11" s="352"/>
      <c r="B11" s="90" t="s">
        <v>107</v>
      </c>
      <c r="C11" s="94">
        <f>C7*C19</f>
        <v>0</v>
      </c>
      <c r="D11" s="94">
        <f t="shared" ref="D11:N11" si="4">D7*D19</f>
        <v>0</v>
      </c>
      <c r="E11" s="94">
        <f t="shared" si="4"/>
        <v>0</v>
      </c>
      <c r="F11" s="94">
        <f t="shared" si="4"/>
        <v>0</v>
      </c>
      <c r="G11" s="94">
        <f t="shared" si="4"/>
        <v>0</v>
      </c>
      <c r="H11" s="94">
        <f t="shared" si="4"/>
        <v>0</v>
      </c>
      <c r="I11" s="94">
        <f t="shared" si="4"/>
        <v>0</v>
      </c>
      <c r="J11" s="94">
        <f t="shared" si="4"/>
        <v>0</v>
      </c>
      <c r="K11" s="94">
        <f t="shared" si="4"/>
        <v>0</v>
      </c>
      <c r="L11" s="94">
        <f t="shared" si="4"/>
        <v>0</v>
      </c>
      <c r="M11" s="94">
        <f t="shared" si="4"/>
        <v>0</v>
      </c>
      <c r="N11" s="94">
        <f t="shared" si="4"/>
        <v>0</v>
      </c>
      <c r="O11" s="116">
        <f>SUM(C11:N11)</f>
        <v>0</v>
      </c>
      <c r="P11" s="112">
        <f>O11/12</f>
        <v>0</v>
      </c>
    </row>
    <row r="12" spans="1:16">
      <c r="A12" s="353"/>
      <c r="B12" s="95" t="s">
        <v>10</v>
      </c>
      <c r="C12" s="96">
        <f>C9+C10+C11</f>
        <v>5089.8808290000006</v>
      </c>
      <c r="D12" s="96">
        <f t="shared" ref="D12:N12" si="5">D9+D10+D11</f>
        <v>7290.0585819999997</v>
      </c>
      <c r="E12" s="96">
        <f t="shared" si="5"/>
        <v>8604.1213640000005</v>
      </c>
      <c r="F12" s="96">
        <f t="shared" si="5"/>
        <v>12099.660029999999</v>
      </c>
      <c r="G12" s="96">
        <f t="shared" si="5"/>
        <v>11254.414349999999</v>
      </c>
      <c r="H12" s="96">
        <f t="shared" si="5"/>
        <v>6606.7353899999998</v>
      </c>
      <c r="I12" s="96">
        <f t="shared" si="5"/>
        <v>4163.53784</v>
      </c>
      <c r="J12" s="96">
        <f t="shared" si="5"/>
        <v>8500.9985000000015</v>
      </c>
      <c r="K12" s="96">
        <f>K9+K10+K11</f>
        <v>0</v>
      </c>
      <c r="L12" s="96">
        <f t="shared" si="5"/>
        <v>0</v>
      </c>
      <c r="M12" s="96">
        <f t="shared" si="5"/>
        <v>0</v>
      </c>
      <c r="N12" s="96">
        <f t="shared" si="5"/>
        <v>0</v>
      </c>
      <c r="O12" s="96">
        <f>SUM(O9:O11)</f>
        <v>63609.406884999997</v>
      </c>
      <c r="P12" s="112">
        <f t="shared" si="3"/>
        <v>5300.7839070833334</v>
      </c>
    </row>
    <row r="15" spans="1:16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15.75" thickBot="1">
      <c r="A16" s="336">
        <v>2022</v>
      </c>
      <c r="B16" s="337"/>
      <c r="C16" s="97" t="s">
        <v>52</v>
      </c>
      <c r="D16" s="98" t="s">
        <v>53</v>
      </c>
      <c r="E16" s="98" t="s">
        <v>54</v>
      </c>
      <c r="F16" s="98" t="s">
        <v>55</v>
      </c>
      <c r="G16" s="98" t="s">
        <v>56</v>
      </c>
      <c r="H16" s="98" t="s">
        <v>57</v>
      </c>
      <c r="I16" s="98" t="s">
        <v>58</v>
      </c>
      <c r="J16" s="98" t="s">
        <v>59</v>
      </c>
      <c r="K16" s="98" t="s">
        <v>60</v>
      </c>
      <c r="L16" s="98" t="s">
        <v>61</v>
      </c>
      <c r="M16" s="98" t="s">
        <v>62</v>
      </c>
      <c r="N16" s="117" t="s">
        <v>63</v>
      </c>
      <c r="O16" s="111" t="s">
        <v>10</v>
      </c>
      <c r="P16" s="112" t="s">
        <v>96</v>
      </c>
    </row>
    <row r="17" spans="1:17">
      <c r="A17" s="344" t="s">
        <v>101</v>
      </c>
      <c r="B17" s="99" t="s">
        <v>32</v>
      </c>
      <c r="C17" s="100">
        <v>11.023</v>
      </c>
      <c r="D17" s="100">
        <v>11.023</v>
      </c>
      <c r="E17" s="100">
        <v>11.023</v>
      </c>
      <c r="F17" s="100">
        <v>11.02</v>
      </c>
      <c r="G17" s="101">
        <v>11.02</v>
      </c>
      <c r="H17" s="102">
        <v>11.02</v>
      </c>
      <c r="I17" s="102">
        <v>11.02</v>
      </c>
      <c r="J17" s="102">
        <v>11.02</v>
      </c>
      <c r="K17" s="102">
        <v>0</v>
      </c>
      <c r="L17" s="102">
        <v>0</v>
      </c>
      <c r="M17" s="102">
        <v>0</v>
      </c>
      <c r="N17" s="245"/>
      <c r="O17" s="248">
        <f>SUM(C17:N17)</f>
        <v>88.168999999999983</v>
      </c>
      <c r="P17" s="112">
        <f>O17/12</f>
        <v>7.3474166666666649</v>
      </c>
      <c r="Q17" s="21"/>
    </row>
    <row r="18" spans="1:17">
      <c r="A18" s="345"/>
      <c r="B18" s="103" t="s">
        <v>33</v>
      </c>
      <c r="C18" s="104">
        <v>170.86</v>
      </c>
      <c r="D18" s="104">
        <v>181.88</v>
      </c>
      <c r="E18" s="104">
        <v>192.9</v>
      </c>
      <c r="F18" s="312">
        <v>198.41</v>
      </c>
      <c r="G18" s="105">
        <v>198.41</v>
      </c>
      <c r="H18" s="106">
        <v>198.41</v>
      </c>
      <c r="I18" s="106">
        <v>209.44</v>
      </c>
      <c r="J18" s="106">
        <v>220.46</v>
      </c>
      <c r="K18" s="106">
        <v>0</v>
      </c>
      <c r="L18" s="106">
        <v>0</v>
      </c>
      <c r="M18" s="106">
        <v>0</v>
      </c>
      <c r="N18" s="246"/>
      <c r="O18" s="249">
        <f>SUM(C18:N18)</f>
        <v>1570.77</v>
      </c>
      <c r="P18" s="112">
        <f t="shared" ref="P18:P19" si="6">O18/12</f>
        <v>130.89750000000001</v>
      </c>
      <c r="Q18" s="21"/>
    </row>
    <row r="19" spans="1:17" ht="15.75" thickBot="1">
      <c r="A19" s="346"/>
      <c r="B19" s="107" t="s">
        <v>34</v>
      </c>
      <c r="C19" s="108">
        <v>0</v>
      </c>
      <c r="D19" s="108">
        <v>0</v>
      </c>
      <c r="E19" s="108">
        <v>0</v>
      </c>
      <c r="F19" s="108">
        <v>0</v>
      </c>
      <c r="G19" s="109">
        <v>0</v>
      </c>
      <c r="H19" s="110">
        <v>0</v>
      </c>
      <c r="I19" s="69">
        <v>0</v>
      </c>
      <c r="J19" s="102">
        <v>0</v>
      </c>
      <c r="K19" s="110">
        <v>0</v>
      </c>
      <c r="L19" s="110">
        <v>0</v>
      </c>
      <c r="M19" s="110">
        <v>0</v>
      </c>
      <c r="N19" s="247"/>
      <c r="O19" s="250">
        <f>SUM(C19:N19)</f>
        <v>0</v>
      </c>
      <c r="P19" s="112">
        <f t="shared" si="6"/>
        <v>0</v>
      </c>
      <c r="Q19" s="21"/>
    </row>
    <row r="20" spans="1:17">
      <c r="A20" s="71"/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21"/>
      <c r="P20" s="21"/>
      <c r="Q20" s="21"/>
    </row>
    <row r="21" spans="1:17">
      <c r="B21" s="242"/>
      <c r="C21" s="242"/>
      <c r="D21" s="242"/>
      <c r="E21" s="242"/>
      <c r="F21" s="242"/>
      <c r="G21" s="242"/>
    </row>
    <row r="22" spans="1:17">
      <c r="B22" s="241"/>
      <c r="C22" s="241"/>
      <c r="D22" s="241"/>
      <c r="E22" s="241"/>
      <c r="F22" s="241"/>
      <c r="G22" s="241"/>
    </row>
    <row r="23" spans="1:17">
      <c r="B23" s="241"/>
      <c r="C23" s="241"/>
      <c r="D23" s="241"/>
      <c r="E23" s="241"/>
      <c r="F23" s="241"/>
      <c r="G23" s="241"/>
    </row>
    <row r="24" spans="1:17">
      <c r="B24" s="241"/>
      <c r="C24" s="241"/>
      <c r="D24" s="241"/>
      <c r="E24" s="241"/>
      <c r="F24" s="241"/>
      <c r="G24" s="241"/>
    </row>
  </sheetData>
  <sheetProtection selectLockedCells="1" selectUnlockedCells="1"/>
  <mergeCells count="7">
    <mergeCell ref="A17:A19"/>
    <mergeCell ref="A1:O1"/>
    <mergeCell ref="A2:O2"/>
    <mergeCell ref="A4:B4"/>
    <mergeCell ref="A16:B16"/>
    <mergeCell ref="A5:A8"/>
    <mergeCell ref="A9:A1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workbookViewId="0">
      <selection activeCell="J13" sqref="J13"/>
    </sheetView>
  </sheetViews>
  <sheetFormatPr defaultColWidth="9.140625" defaultRowHeight="15"/>
  <cols>
    <col min="1" max="1" width="11" customWidth="1"/>
    <col min="2" max="2" width="17.85546875" customWidth="1"/>
    <col min="3" max="3" width="11" customWidth="1"/>
    <col min="4" max="4" width="12.140625" bestFit="1" customWidth="1"/>
    <col min="5" max="5" width="13.140625" customWidth="1"/>
    <col min="6" max="6" width="14.28515625" customWidth="1"/>
    <col min="7" max="7" width="11.7109375" customWidth="1"/>
    <col min="8" max="8" width="11.5703125" customWidth="1"/>
    <col min="9" max="11" width="11" customWidth="1"/>
    <col min="12" max="12" width="10.7109375" customWidth="1"/>
    <col min="13" max="13" width="11.42578125" customWidth="1"/>
    <col min="14" max="14" width="10" customWidth="1"/>
    <col min="15" max="15" width="13.140625" bestFit="1" customWidth="1"/>
  </cols>
  <sheetData>
    <row r="1" spans="1:16" ht="26.25">
      <c r="A1" s="341" t="s">
        <v>175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21"/>
    </row>
    <row r="2" spans="1:16" ht="20.25">
      <c r="A2" s="342" t="s">
        <v>94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21"/>
    </row>
    <row r="3" spans="1:16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>
      <c r="A4" s="336" t="s">
        <v>95</v>
      </c>
      <c r="B4" s="337"/>
      <c r="C4" s="51" t="s">
        <v>52</v>
      </c>
      <c r="D4" s="52" t="s">
        <v>53</v>
      </c>
      <c r="E4" s="52" t="s">
        <v>54</v>
      </c>
      <c r="F4" s="52" t="s">
        <v>55</v>
      </c>
      <c r="G4" s="52" t="s">
        <v>56</v>
      </c>
      <c r="H4" s="52" t="s">
        <v>57</v>
      </c>
      <c r="I4" s="52" t="s">
        <v>58</v>
      </c>
      <c r="J4" s="52" t="s">
        <v>59</v>
      </c>
      <c r="K4" s="52" t="s">
        <v>60</v>
      </c>
      <c r="L4" s="52" t="s">
        <v>61</v>
      </c>
      <c r="M4" s="52" t="s">
        <v>62</v>
      </c>
      <c r="N4" s="52" t="s">
        <v>63</v>
      </c>
      <c r="O4" s="74" t="s">
        <v>10</v>
      </c>
      <c r="P4" s="75" t="s">
        <v>96</v>
      </c>
    </row>
    <row r="5" spans="1:16">
      <c r="A5" s="338" t="s">
        <v>97</v>
      </c>
      <c r="B5" s="53" t="s">
        <v>98</v>
      </c>
      <c r="C5" s="54">
        <f>'PLANT 3'!AP11/1000</f>
        <v>142.38999999999999</v>
      </c>
      <c r="D5" s="54">
        <f>'PLANT 3'!AN20/1000</f>
        <v>83.911000000000001</v>
      </c>
      <c r="E5" s="54">
        <f>'PLANT 3'!AN29/1000</f>
        <v>108.113</v>
      </c>
      <c r="F5" s="54">
        <f>'PLANT 3'!AN38/1000</f>
        <v>135.417</v>
      </c>
      <c r="G5" s="54">
        <f>'PLANT 3'!AN47/1000</f>
        <v>127.259</v>
      </c>
      <c r="H5" s="54">
        <f>'PLANT 3'!AO56/1000</f>
        <v>109.04600000000001</v>
      </c>
      <c r="I5" s="76">
        <f>'PLANT 3'!AO65/1000</f>
        <v>101.354</v>
      </c>
      <c r="J5" s="54">
        <f>'PLANT 3'!AN75/1000</f>
        <v>141.953</v>
      </c>
      <c r="K5" s="54">
        <f>'PLANT 3'!AN84/1000</f>
        <v>86.58</v>
      </c>
      <c r="L5" s="54">
        <f>'PLANT 3'!AP93/1000</f>
        <v>0</v>
      </c>
      <c r="M5" s="54">
        <f>'PLANT 3'!AN102/1000</f>
        <v>0</v>
      </c>
      <c r="N5" s="54">
        <f>'PLANT 3'!AI111/1000</f>
        <v>0</v>
      </c>
      <c r="O5" s="77">
        <f>SUM(C5:N5)</f>
        <v>1036.0230000000001</v>
      </c>
      <c r="P5" s="75">
        <f>O5/12</f>
        <v>86.335250000000016</v>
      </c>
    </row>
    <row r="6" spans="1:16">
      <c r="A6" s="339"/>
      <c r="B6" s="55" t="s">
        <v>93</v>
      </c>
      <c r="C6" s="56">
        <f>C5/C9</f>
        <v>0.58575254330718374</v>
      </c>
      <c r="D6" s="56">
        <f t="shared" ref="D6:O6" si="0">D5/D9</f>
        <v>0.41272035098764459</v>
      </c>
      <c r="E6" s="56">
        <f t="shared" si="0"/>
        <v>0.37981563064297413</v>
      </c>
      <c r="F6" s="56">
        <f t="shared" si="0"/>
        <v>0.41234128071617798</v>
      </c>
      <c r="G6" s="56">
        <f t="shared" si="0"/>
        <v>0.44146225547842799</v>
      </c>
      <c r="H6" s="56">
        <f t="shared" si="0"/>
        <v>0.4122675357179314</v>
      </c>
      <c r="I6" s="56">
        <f t="shared" si="0"/>
        <v>0.41237608353795357</v>
      </c>
      <c r="J6" s="56">
        <f t="shared" si="0"/>
        <v>0.56237050301284774</v>
      </c>
      <c r="K6" s="56">
        <f t="shared" si="0"/>
        <v>0.59213765935328555</v>
      </c>
      <c r="L6" s="56" t="e">
        <f t="shared" si="0"/>
        <v>#DIV/0!</v>
      </c>
      <c r="M6" s="56" t="e">
        <f>M5/M9</f>
        <v>#DIV/0!</v>
      </c>
      <c r="N6" s="56" t="e">
        <f t="shared" si="0"/>
        <v>#DIV/0!</v>
      </c>
      <c r="O6" s="78">
        <f t="shared" si="0"/>
        <v>0.45909930350066536</v>
      </c>
      <c r="P6" s="75">
        <f>O6/12</f>
        <v>3.8258275291722113E-2</v>
      </c>
    </row>
    <row r="7" spans="1:16">
      <c r="A7" s="339"/>
      <c r="B7" s="55" t="s">
        <v>99</v>
      </c>
      <c r="C7" s="57">
        <f>'PLANT 3'!AP12/1000</f>
        <v>100.699</v>
      </c>
      <c r="D7" s="57">
        <f>'PLANT 3'!AN21/1000</f>
        <v>119.401</v>
      </c>
      <c r="E7" s="57">
        <f>'PLANT 3'!AN30/1000</f>
        <v>176.53299999999999</v>
      </c>
      <c r="F7" s="57">
        <f>'PLANT 3'!AN39/1000</f>
        <v>192.99299999999999</v>
      </c>
      <c r="G7" s="57">
        <f>'PLANT 3'!AN48/1000</f>
        <v>161.00800000000001</v>
      </c>
      <c r="H7" s="57">
        <f>'PLANT 3'!AO57/1000</f>
        <v>155.45699999999999</v>
      </c>
      <c r="I7" s="57">
        <f>'PLANT 3'!AO66/1000</f>
        <v>144.4265</v>
      </c>
      <c r="J7" s="57">
        <f>'PLANT 3'!AN74/1000</f>
        <v>110.46599999999999</v>
      </c>
      <c r="K7" s="57">
        <f>'PLANT 3'!AN83/1000</f>
        <v>59.636000000000003</v>
      </c>
      <c r="L7" s="57">
        <f>'PLANT 3'!AP92/1000</f>
        <v>0</v>
      </c>
      <c r="M7" s="57">
        <f>'PLANT 3'!AN101/1000</f>
        <v>0</v>
      </c>
      <c r="N7" s="57">
        <f>'PLANT 3'!AI110/1000</f>
        <v>0</v>
      </c>
      <c r="O7" s="79">
        <f>SUM(C7:N7)</f>
        <v>1220.6194999999998</v>
      </c>
      <c r="P7" s="75">
        <f>O7/12</f>
        <v>101.71829166666664</v>
      </c>
    </row>
    <row r="8" spans="1:16">
      <c r="A8" s="339"/>
      <c r="B8" s="58" t="s">
        <v>93</v>
      </c>
      <c r="C8" s="59">
        <f>C7/C9</f>
        <v>0.41424745669281621</v>
      </c>
      <c r="D8" s="59">
        <f t="shared" ref="D8:O8" si="1">D7/D9</f>
        <v>0.5872796490123553</v>
      </c>
      <c r="E8" s="59">
        <f t="shared" si="1"/>
        <v>0.62018436935702592</v>
      </c>
      <c r="F8" s="59">
        <f t="shared" si="1"/>
        <v>0.58765871928382207</v>
      </c>
      <c r="G8" s="59">
        <f t="shared" si="1"/>
        <v>0.55853774452157201</v>
      </c>
      <c r="H8" s="59">
        <f t="shared" si="1"/>
        <v>0.5877324642820686</v>
      </c>
      <c r="I8" s="59">
        <f>I7/I9</f>
        <v>0.58762391646204637</v>
      </c>
      <c r="J8" s="59">
        <f t="shared" si="1"/>
        <v>0.43762949698715231</v>
      </c>
      <c r="K8" s="59">
        <f t="shared" si="1"/>
        <v>0.40786234064671445</v>
      </c>
      <c r="L8" s="59" t="e">
        <f t="shared" si="1"/>
        <v>#DIV/0!</v>
      </c>
      <c r="M8" s="59" t="e">
        <f t="shared" si="1"/>
        <v>#DIV/0!</v>
      </c>
      <c r="N8" s="59" t="e">
        <f t="shared" si="1"/>
        <v>#DIV/0!</v>
      </c>
      <c r="O8" s="80">
        <f t="shared" si="1"/>
        <v>0.5409006964993347</v>
      </c>
      <c r="P8" s="75">
        <f>O8/12</f>
        <v>4.5075058041611223E-2</v>
      </c>
    </row>
    <row r="9" spans="1:16">
      <c r="A9" s="339"/>
      <c r="B9" s="60" t="s">
        <v>76</v>
      </c>
      <c r="C9" s="61">
        <f>C5+C7</f>
        <v>243.089</v>
      </c>
      <c r="D9" s="61">
        <f t="shared" ref="D9:O9" si="2">D5+D7</f>
        <v>203.31200000000001</v>
      </c>
      <c r="E9" s="61">
        <f t="shared" si="2"/>
        <v>284.64599999999996</v>
      </c>
      <c r="F9" s="61">
        <f t="shared" si="2"/>
        <v>328.40999999999997</v>
      </c>
      <c r="G9" s="61">
        <f t="shared" si="2"/>
        <v>288.267</v>
      </c>
      <c r="H9" s="61">
        <f t="shared" si="2"/>
        <v>264.50299999999999</v>
      </c>
      <c r="I9" s="61">
        <f>I5+I7</f>
        <v>245.78050000000002</v>
      </c>
      <c r="J9" s="61">
        <f t="shared" si="2"/>
        <v>252.41899999999998</v>
      </c>
      <c r="K9" s="61">
        <f t="shared" si="2"/>
        <v>146.21600000000001</v>
      </c>
      <c r="L9" s="61">
        <f t="shared" si="2"/>
        <v>0</v>
      </c>
      <c r="M9" s="61">
        <f t="shared" si="2"/>
        <v>0</v>
      </c>
      <c r="N9" s="61">
        <f t="shared" si="2"/>
        <v>0</v>
      </c>
      <c r="O9" s="61">
        <f t="shared" si="2"/>
        <v>2256.6424999999999</v>
      </c>
      <c r="P9" s="75">
        <f>O9/12</f>
        <v>188.05354166666666</v>
      </c>
    </row>
    <row r="10" spans="1:16">
      <c r="A10" s="336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37"/>
      <c r="P10" s="75">
        <v>0</v>
      </c>
    </row>
    <row r="11" spans="1:16">
      <c r="A11" s="338" t="s">
        <v>108</v>
      </c>
      <c r="B11" s="53" t="s">
        <v>98</v>
      </c>
      <c r="C11" s="62">
        <f t="shared" ref="C11:I11" si="3">C5*C17</f>
        <v>18049.356400000001</v>
      </c>
      <c r="D11" s="62">
        <f t="shared" si="3"/>
        <v>9711.8591400000005</v>
      </c>
      <c r="E11" s="62">
        <f t="shared" si="3"/>
        <v>13108.70125</v>
      </c>
      <c r="F11" s="62">
        <f t="shared" si="3"/>
        <v>15673.16358</v>
      </c>
      <c r="G11" s="62">
        <f t="shared" si="3"/>
        <v>17535.017609999999</v>
      </c>
      <c r="H11" s="62">
        <f t="shared" si="3"/>
        <v>15626.291800000003</v>
      </c>
      <c r="I11" s="62">
        <f t="shared" si="3"/>
        <v>15640.949279999999</v>
      </c>
      <c r="J11" s="62">
        <f t="shared" ref="J11:N11" si="4">J5*J17</f>
        <v>19559.703869999998</v>
      </c>
      <c r="K11" s="62">
        <f t="shared" si="4"/>
        <v>0</v>
      </c>
      <c r="L11" s="62">
        <f t="shared" si="4"/>
        <v>0</v>
      </c>
      <c r="M11" s="62">
        <f t="shared" si="4"/>
        <v>0</v>
      </c>
      <c r="N11" s="62">
        <f t="shared" si="4"/>
        <v>0</v>
      </c>
      <c r="O11" s="81">
        <f>SUM(C11:N11)</f>
        <v>124905.04293000001</v>
      </c>
      <c r="P11" s="75">
        <f>O11/12</f>
        <v>10408.753577500001</v>
      </c>
    </row>
    <row r="12" spans="1:16">
      <c r="A12" s="339"/>
      <c r="B12" s="55" t="s">
        <v>99</v>
      </c>
      <c r="C12" s="63">
        <f>C7*C20</f>
        <v>10099.102710000001</v>
      </c>
      <c r="D12" s="63">
        <f>D7*D20</f>
        <v>10401.02111</v>
      </c>
      <c r="E12" s="63">
        <f t="shared" ref="E12:N12" si="5">E7*E20</f>
        <v>16913.62673</v>
      </c>
      <c r="F12" s="63">
        <f t="shared" si="5"/>
        <v>16886.887500000001</v>
      </c>
      <c r="G12" s="63">
        <f t="shared" si="5"/>
        <v>18094.079040000001</v>
      </c>
      <c r="H12" s="63">
        <f>H7*H20</f>
        <v>17935.074089999998</v>
      </c>
      <c r="I12" s="63">
        <f t="shared" si="5"/>
        <v>19135.066985000001</v>
      </c>
      <c r="J12" s="63">
        <f t="shared" si="5"/>
        <v>11867.36238</v>
      </c>
      <c r="K12" s="63">
        <f t="shared" si="5"/>
        <v>0</v>
      </c>
      <c r="L12" s="63">
        <f t="shared" si="5"/>
        <v>0</v>
      </c>
      <c r="M12" s="63">
        <f t="shared" si="5"/>
        <v>0</v>
      </c>
      <c r="N12" s="63">
        <f t="shared" si="5"/>
        <v>0</v>
      </c>
      <c r="O12" s="82">
        <f>SUM(C12:N12)</f>
        <v>121332.22054499999</v>
      </c>
      <c r="P12" s="75">
        <f t="shared" ref="P12:P13" si="6">O12/12</f>
        <v>10111.018378749999</v>
      </c>
    </row>
    <row r="13" spans="1:16">
      <c r="A13" s="340"/>
      <c r="B13" s="64" t="s">
        <v>10</v>
      </c>
      <c r="C13" s="65">
        <f>C11+C12</f>
        <v>28148.459110000003</v>
      </c>
      <c r="D13" s="65">
        <f t="shared" ref="D13:O13" si="7">D11+D12</f>
        <v>20112.880250000002</v>
      </c>
      <c r="E13" s="65">
        <f t="shared" si="7"/>
        <v>30022.327980000002</v>
      </c>
      <c r="F13" s="65">
        <f t="shared" si="7"/>
        <v>32560.051080000001</v>
      </c>
      <c r="G13" s="65">
        <f t="shared" si="7"/>
        <v>35629.096649999999</v>
      </c>
      <c r="H13" s="65">
        <f t="shared" si="7"/>
        <v>33561.365890000001</v>
      </c>
      <c r="I13" s="65">
        <f t="shared" si="7"/>
        <v>34776.016264999998</v>
      </c>
      <c r="J13" s="65">
        <f t="shared" si="7"/>
        <v>31427.066249999996</v>
      </c>
      <c r="K13" s="65">
        <f t="shared" si="7"/>
        <v>0</v>
      </c>
      <c r="L13" s="65">
        <f t="shared" si="7"/>
        <v>0</v>
      </c>
      <c r="M13" s="65">
        <f t="shared" si="7"/>
        <v>0</v>
      </c>
      <c r="N13" s="65">
        <f t="shared" si="7"/>
        <v>0</v>
      </c>
      <c r="O13" s="65">
        <f t="shared" si="7"/>
        <v>246237.26347499999</v>
      </c>
      <c r="P13" s="75">
        <f t="shared" si="6"/>
        <v>20519.771956249999</v>
      </c>
    </row>
    <row r="15" spans="1:16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15.75" thickBot="1">
      <c r="A16" s="336">
        <v>2020</v>
      </c>
      <c r="B16" s="337"/>
      <c r="C16" s="66" t="s">
        <v>52</v>
      </c>
      <c r="D16" s="52" t="s">
        <v>53</v>
      </c>
      <c r="E16" s="52" t="s">
        <v>54</v>
      </c>
      <c r="F16" s="52" t="s">
        <v>55</v>
      </c>
      <c r="G16" s="52" t="s">
        <v>56</v>
      </c>
      <c r="H16" s="52" t="s">
        <v>57</v>
      </c>
      <c r="I16" s="52" t="s">
        <v>58</v>
      </c>
      <c r="J16" s="52" t="s">
        <v>59</v>
      </c>
      <c r="K16" s="52" t="s">
        <v>60</v>
      </c>
      <c r="L16" s="52" t="s">
        <v>61</v>
      </c>
      <c r="M16" s="52" t="s">
        <v>62</v>
      </c>
      <c r="N16" s="74" t="s">
        <v>63</v>
      </c>
      <c r="O16" s="74" t="s">
        <v>10</v>
      </c>
      <c r="P16" s="75" t="s">
        <v>96</v>
      </c>
    </row>
    <row r="17" spans="1:16" ht="15.75" thickBot="1">
      <c r="A17" s="67" t="s">
        <v>101</v>
      </c>
      <c r="B17" s="68" t="s">
        <v>102</v>
      </c>
      <c r="C17" s="69">
        <v>126.76</v>
      </c>
      <c r="D17" s="69">
        <v>115.74</v>
      </c>
      <c r="E17" s="69">
        <v>121.25</v>
      </c>
      <c r="F17" s="69">
        <v>115.74</v>
      </c>
      <c r="G17" s="70">
        <v>137.79</v>
      </c>
      <c r="H17" s="69">
        <v>143.30000000000001</v>
      </c>
      <c r="I17" s="69">
        <v>154.32</v>
      </c>
      <c r="J17" s="69">
        <v>137.79</v>
      </c>
      <c r="K17" s="69"/>
      <c r="L17" s="69"/>
      <c r="M17" s="69"/>
      <c r="N17" s="83"/>
      <c r="O17" s="251">
        <f>SUM(C17:N17)</f>
        <v>1052.6899999999998</v>
      </c>
      <c r="P17" s="75">
        <f>O17/12</f>
        <v>87.724166666666648</v>
      </c>
    </row>
    <row r="18" spans="1:16" ht="15.75" thickBot="1">
      <c r="A18" s="71"/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21"/>
    </row>
    <row r="19" spans="1:16" ht="15.75" thickBot="1">
      <c r="A19" s="336">
        <v>2020</v>
      </c>
      <c r="B19" s="337"/>
      <c r="C19" s="66" t="s">
        <v>52</v>
      </c>
      <c r="D19" s="52" t="s">
        <v>53</v>
      </c>
      <c r="E19" s="52" t="s">
        <v>54</v>
      </c>
      <c r="F19" s="52" t="s">
        <v>55</v>
      </c>
      <c r="G19" s="52" t="s">
        <v>56</v>
      </c>
      <c r="H19" s="52" t="s">
        <v>57</v>
      </c>
      <c r="I19" s="52" t="s">
        <v>58</v>
      </c>
      <c r="J19" s="52" t="s">
        <v>59</v>
      </c>
      <c r="K19" s="52" t="s">
        <v>60</v>
      </c>
      <c r="L19" s="52" t="s">
        <v>61</v>
      </c>
      <c r="M19" s="52" t="s">
        <v>62</v>
      </c>
      <c r="N19" s="74" t="s">
        <v>63</v>
      </c>
      <c r="O19" s="74" t="s">
        <v>10</v>
      </c>
      <c r="P19" s="75" t="s">
        <v>96</v>
      </c>
    </row>
    <row r="20" spans="1:16" ht="15.75" thickBot="1">
      <c r="A20" s="67" t="s">
        <v>101</v>
      </c>
      <c r="B20" s="68" t="s">
        <v>103</v>
      </c>
      <c r="C20" s="69">
        <v>100.29</v>
      </c>
      <c r="D20" s="69">
        <v>87.11</v>
      </c>
      <c r="E20" s="69">
        <v>95.81</v>
      </c>
      <c r="F20" s="69">
        <v>87.5</v>
      </c>
      <c r="G20" s="70">
        <v>112.38</v>
      </c>
      <c r="H20" s="69">
        <v>115.37</v>
      </c>
      <c r="I20" s="69">
        <v>132.49</v>
      </c>
      <c r="J20" s="69">
        <v>107.43</v>
      </c>
      <c r="K20" s="69"/>
      <c r="L20" s="69"/>
      <c r="M20" s="69"/>
      <c r="N20" s="83"/>
      <c r="O20" s="251">
        <f>SUM(C20:N20)</f>
        <v>838.38000000000011</v>
      </c>
      <c r="P20" s="75">
        <f>O20/12</f>
        <v>69.865000000000009</v>
      </c>
    </row>
    <row r="21" spans="1:16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72"/>
    </row>
  </sheetData>
  <sheetProtection selectLockedCells="1" selectUnlockedCells="1"/>
  <mergeCells count="8">
    <mergeCell ref="A19:B19"/>
    <mergeCell ref="A5:A9"/>
    <mergeCell ref="A11:A13"/>
    <mergeCell ref="A1:O1"/>
    <mergeCell ref="A2:O2"/>
    <mergeCell ref="A4:B4"/>
    <mergeCell ref="A10:O10"/>
    <mergeCell ref="A16:B16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PLANT 1</vt:lpstr>
      <vt:lpstr>PLANT 2</vt:lpstr>
      <vt:lpstr>P2</vt:lpstr>
      <vt:lpstr>PLANT 3</vt:lpstr>
      <vt:lpstr>Total</vt:lpstr>
      <vt:lpstr>Graphics Scrap</vt:lpstr>
      <vt:lpstr>Plant 1 A</vt:lpstr>
      <vt:lpstr>Plant 2 A</vt:lpstr>
      <vt:lpstr>Plant 3 A</vt:lpstr>
      <vt:lpstr>Scrap AMOUNT</vt:lpstr>
      <vt:lpstr>Scrap AMOUNT JAN TO JUL</vt:lpstr>
      <vt:lpstr>Sheet1</vt:lpstr>
      <vt:lpstr>'P2'!Print_Area</vt:lpstr>
      <vt:lpstr>'PLANT 1'!Print_Area</vt:lpstr>
      <vt:lpstr>'Plant 1 A'!Print_Area</vt:lpstr>
      <vt:lpstr>'Plant 2 A'!Print_Area</vt:lpstr>
      <vt:lpstr>'Plant 3 A'!Print_Area</vt:lpstr>
      <vt:lpstr>'Scrap AMOUNT'!Print_Area</vt:lpstr>
      <vt:lpstr>'Scrap AMOUNT JAN TO JUL'!Print_Area</vt:lpstr>
      <vt:lpstr>Total!Print_Area</vt:lpstr>
    </vt:vector>
  </TitlesOfParts>
  <Company>Sinil industry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Sinil</dc:creator>
  <cp:lastModifiedBy>Liliana</cp:lastModifiedBy>
  <cp:lastPrinted>2022-09-07T15:04:09Z</cp:lastPrinted>
  <dcterms:created xsi:type="dcterms:W3CDTF">2017-01-03T19:41:00Z</dcterms:created>
  <dcterms:modified xsi:type="dcterms:W3CDTF">2022-09-19T22:59:59Z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